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CT\Downloads\"/>
    </mc:Choice>
  </mc:AlternateContent>
  <bookViews>
    <workbookView xWindow="0" yWindow="0" windowWidth="19200" windowHeight="7190"/>
  </bookViews>
  <sheets>
    <sheet name="SUMMARY" sheetId="1" r:id="rId1"/>
    <sheet name="MAIN BLOCK" sheetId="2" r:id="rId2"/>
    <sheet name="MAIN GATES" sheetId="3" r:id="rId3"/>
  </sheets>
  <definedNames>
    <definedName name="BlockB">#REF!</definedName>
    <definedName name="Index_Sheet_Kutools" localSheetId="1">#REF!</definedName>
    <definedName name="Index_Sheet_Kutools">#REF!</definedName>
    <definedName name="_xlnm.Print_Area" localSheetId="1">'MAIN BLOCK'!$A$2:$G$200</definedName>
    <definedName name="_xlnm.Print_Titles" localSheetId="1">'MAIN BLOCK'!$2:$2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3" l="1"/>
  <c r="G43" i="3"/>
  <c r="G42" i="3"/>
  <c r="G46" i="3" s="1"/>
  <c r="G37" i="3"/>
  <c r="E37" i="3"/>
  <c r="G36" i="3"/>
  <c r="E36" i="3"/>
  <c r="G33" i="3"/>
  <c r="E33" i="3"/>
  <c r="G32" i="3"/>
  <c r="E32" i="3"/>
  <c r="G30" i="3"/>
  <c r="E30" i="3"/>
  <c r="G26" i="3"/>
  <c r="E26" i="3"/>
  <c r="G25" i="3"/>
  <c r="E25" i="3"/>
  <c r="G24" i="3"/>
  <c r="E24" i="3"/>
  <c r="G23" i="3"/>
  <c r="E23" i="3"/>
  <c r="G22" i="3"/>
  <c r="E22" i="3"/>
  <c r="G21" i="3"/>
  <c r="E21" i="3"/>
  <c r="G20" i="3"/>
  <c r="E20" i="3"/>
  <c r="G19" i="3"/>
  <c r="E19" i="3"/>
  <c r="G17" i="3"/>
  <c r="E17" i="3"/>
  <c r="G16" i="3"/>
  <c r="E16" i="3"/>
  <c r="G14" i="3"/>
  <c r="E14" i="3"/>
  <c r="G13" i="3"/>
  <c r="E13" i="3"/>
  <c r="G9" i="3"/>
  <c r="G10" i="3" s="1"/>
  <c r="E9" i="3"/>
  <c r="G8" i="3"/>
  <c r="E8" i="3"/>
  <c r="G6" i="3"/>
  <c r="G197" i="2"/>
  <c r="G196" i="2"/>
  <c r="G195" i="2"/>
  <c r="G194" i="2"/>
  <c r="G192" i="2"/>
  <c r="G191" i="2"/>
  <c r="G190" i="2"/>
  <c r="G189" i="2"/>
  <c r="G188" i="2"/>
  <c r="G187" i="2"/>
  <c r="G186" i="2"/>
  <c r="G185" i="2"/>
  <c r="G181" i="2"/>
  <c r="G182" i="2" s="1"/>
  <c r="G175" i="2"/>
  <c r="G173" i="2"/>
  <c r="G172" i="2"/>
  <c r="G171" i="2"/>
  <c r="G176" i="2" s="1"/>
  <c r="G167" i="2"/>
  <c r="G168" i="2" s="1"/>
  <c r="G165" i="2"/>
  <c r="G164" i="2"/>
  <c r="G162" i="2"/>
  <c r="G161" i="2"/>
  <c r="G155" i="2"/>
  <c r="E155" i="2"/>
  <c r="G154" i="2"/>
  <c r="E154" i="2"/>
  <c r="G152" i="2"/>
  <c r="E152" i="2"/>
  <c r="G151" i="2"/>
  <c r="E151" i="2"/>
  <c r="G147" i="2"/>
  <c r="G146" i="2"/>
  <c r="E146" i="2"/>
  <c r="G145" i="2"/>
  <c r="E145" i="2"/>
  <c r="G144" i="2"/>
  <c r="E144" i="2"/>
  <c r="G143" i="2"/>
  <c r="G148" i="2" s="1"/>
  <c r="E143" i="2"/>
  <c r="G137" i="2"/>
  <c r="G136" i="2"/>
  <c r="E136" i="2"/>
  <c r="G134" i="2"/>
  <c r="E134" i="2"/>
  <c r="G131" i="2"/>
  <c r="G130" i="2"/>
  <c r="G129" i="2"/>
  <c r="G128" i="2"/>
  <c r="G126" i="2"/>
  <c r="G124" i="2"/>
  <c r="G123" i="2"/>
  <c r="G120" i="2"/>
  <c r="G119" i="2"/>
  <c r="E119" i="2"/>
  <c r="G118" i="2"/>
  <c r="G117" i="2"/>
  <c r="E117" i="2"/>
  <c r="G116" i="2"/>
  <c r="E116" i="2"/>
  <c r="G115" i="2"/>
  <c r="E115" i="2"/>
  <c r="G111" i="2"/>
  <c r="E111" i="2"/>
  <c r="G108" i="2"/>
  <c r="G112" i="2" s="1"/>
  <c r="E108" i="2"/>
  <c r="G103" i="2"/>
  <c r="E103" i="2"/>
  <c r="G100" i="2"/>
  <c r="E100" i="2"/>
  <c r="G97" i="2"/>
  <c r="E97" i="2"/>
  <c r="G93" i="2"/>
  <c r="G92" i="2"/>
  <c r="E92" i="2"/>
  <c r="G85" i="2"/>
  <c r="G83" i="2"/>
  <c r="G82" i="2"/>
  <c r="E82" i="2"/>
  <c r="G81" i="2"/>
  <c r="E81" i="2"/>
  <c r="G80" i="2"/>
  <c r="E80" i="2"/>
  <c r="G79" i="2"/>
  <c r="G78" i="2"/>
  <c r="G86" i="2" s="1"/>
  <c r="G74" i="2"/>
  <c r="G75" i="2" s="1"/>
  <c r="E74" i="2"/>
  <c r="G71" i="2"/>
  <c r="E71" i="2"/>
  <c r="G66" i="2"/>
  <c r="G67" i="2" s="1"/>
  <c r="E66" i="2"/>
  <c r="G62" i="2"/>
  <c r="G61" i="2"/>
  <c r="E61" i="2"/>
  <c r="G60" i="2"/>
  <c r="E60" i="2"/>
  <c r="G59" i="2"/>
  <c r="E59" i="2"/>
  <c r="G58" i="2"/>
  <c r="E58" i="2"/>
  <c r="G57" i="2"/>
  <c r="E57" i="2"/>
  <c r="G54" i="2"/>
  <c r="E54" i="2"/>
  <c r="G53" i="2"/>
  <c r="E53" i="2"/>
  <c r="G52" i="2"/>
  <c r="E52" i="2"/>
  <c r="G51" i="2"/>
  <c r="E51" i="2"/>
  <c r="G50" i="2"/>
  <c r="E50" i="2"/>
  <c r="G49" i="2"/>
  <c r="G55" i="2" s="1"/>
  <c r="E49" i="2"/>
  <c r="G48" i="2"/>
  <c r="E48" i="2"/>
  <c r="G42" i="2"/>
  <c r="E42" i="2"/>
  <c r="G41" i="2"/>
  <c r="G40" i="2"/>
  <c r="G43" i="2" s="1"/>
  <c r="G37" i="2"/>
  <c r="E37" i="2"/>
  <c r="G36" i="2"/>
  <c r="E36" i="2"/>
  <c r="G35" i="2"/>
  <c r="G38" i="2" s="1"/>
  <c r="E35" i="2"/>
  <c r="G32" i="2"/>
  <c r="G33" i="2" s="1"/>
  <c r="E32" i="2"/>
  <c r="G31" i="2"/>
  <c r="E31" i="2"/>
  <c r="G30" i="2"/>
  <c r="E30" i="2"/>
  <c r="G26" i="2"/>
  <c r="E26" i="2"/>
  <c r="G25" i="2"/>
  <c r="E25" i="2"/>
  <c r="G24" i="2"/>
  <c r="E24" i="2"/>
  <c r="G23" i="2"/>
  <c r="E23" i="2"/>
  <c r="G21" i="2"/>
  <c r="E21" i="2"/>
  <c r="G20" i="2"/>
  <c r="E20" i="2"/>
  <c r="G19" i="2"/>
  <c r="E19" i="2"/>
  <c r="G18" i="2"/>
  <c r="E18" i="2"/>
  <c r="G16" i="2"/>
  <c r="E16" i="2"/>
  <c r="G15" i="2"/>
  <c r="G27" i="2" s="1"/>
  <c r="E15" i="2"/>
  <c r="G14" i="2"/>
  <c r="E14" i="2"/>
  <c r="G13" i="2"/>
  <c r="E13" i="2"/>
  <c r="G9" i="2"/>
  <c r="E9" i="2"/>
  <c r="G8" i="2"/>
  <c r="G10" i="2" s="1"/>
  <c r="E8" i="2"/>
  <c r="G7" i="2"/>
  <c r="E7" i="2"/>
  <c r="G6" i="2"/>
  <c r="E6" i="2"/>
  <c r="G198" i="2" l="1"/>
  <c r="G199" i="2"/>
  <c r="C208" i="2" s="1"/>
  <c r="G177" i="2"/>
  <c r="C207" i="2" s="1"/>
  <c r="G156" i="2"/>
  <c r="G157" i="2" s="1"/>
  <c r="C206" i="2" s="1"/>
  <c r="G138" i="2"/>
  <c r="G104" i="2"/>
  <c r="G139" i="2"/>
  <c r="C205" i="2" s="1"/>
  <c r="G87" i="2"/>
  <c r="C204" i="2" s="1"/>
  <c r="G44" i="2"/>
  <c r="C203" i="2" s="1"/>
  <c r="G38" i="3"/>
  <c r="G27" i="3"/>
  <c r="G39" i="3" s="1"/>
  <c r="G47" i="3" s="1"/>
  <c r="D7" i="1" s="1"/>
  <c r="C209" i="2" l="1"/>
  <c r="D6" i="1" s="1"/>
  <c r="D8" i="1" s="1"/>
</calcChain>
</file>

<file path=xl/sharedStrings.xml><?xml version="1.0" encoding="utf-8"?>
<sst xmlns="http://schemas.openxmlformats.org/spreadsheetml/2006/main" count="649" uniqueCount="442">
  <si>
    <t>DIV. ID</t>
  </si>
  <si>
    <t>DESCRIPTION OF WORK</t>
  </si>
  <si>
    <t>UNIT</t>
  </si>
  <si>
    <t>SPEC.</t>
  </si>
  <si>
    <t>QTY</t>
  </si>
  <si>
    <t>RATE</t>
  </si>
  <si>
    <t>AMOUNT</t>
  </si>
  <si>
    <t>m³</t>
  </si>
  <si>
    <t>COLLECTION TO</t>
  </si>
  <si>
    <t>BACK FILLING</t>
  </si>
  <si>
    <t>100gauge Polythene sheet or other equal and approved as Damp Proof</t>
  </si>
  <si>
    <t>m²</t>
  </si>
  <si>
    <t>Premise 200 SCTM manufactured by BAYER CROPSCIENCE or other equal approved anti-termite chemical treatment: strictly applied by an approved Professional pest control specialist with a written 10 year warranty.</t>
  </si>
  <si>
    <t>CONCRETE WORKS</t>
  </si>
  <si>
    <t>Construct 400mm wide, 200mm thick of reinforced concrete Ground beam usinig SRC of 1:2:4 mixing ratio with # 8 Y14 and staffs of 8mm@ 250mm/cc over foundation wall including staircase and access ramps</t>
  </si>
  <si>
    <t>Providing and laying Mass concrete (1:3:6 mix ) in conc. floor slab 100mm thick.using coarse sand and screened graded and washed aggregate, in required shape and design, including forms, moulds, shuttering, lifting, compacting, curing, rendering and finishing exposed surface, complete including the cost of steel reinforcement, its fabrication and placing in position.</t>
  </si>
  <si>
    <t>R.C ring beams (1:2:4 mix) in above the doors &amp; windows conc. @ Depth 10 cm, each with 4N0. Y10 re-bars &amp; R6 links @ 250 mm c/c.</t>
  </si>
  <si>
    <t>Cast RCC (1:2:4 mix) beams of Slab @ depth 40 cm , each with 6N0. Y14 re-bars &amp; R8 links @ 250 mm c/c.</t>
  </si>
  <si>
    <t>STAIRCASE STEPS AND OTHER FINISHING WORKS</t>
  </si>
  <si>
    <t>Construct 20cm wide 35cm thick (15cm inside of the landing slab and 20cm outside)of reinforced concrete beam of 1:2:4 mixing ratio with # 6 Y16 and staffs of 6mm@ 250mm/cc</t>
  </si>
  <si>
    <t>Construction of reinforced concrete 1:2:4 mixing ratio staircase of 190cm width with 22 steps of 30cm trade and 15cm rise with one landing of 160cmx420cm and 15cm thick. The concrete should be reinforced with 5 pieces of straight and 5 folded iron bars diameter ∅ 16mm each ramp. NB: The price should be included 10 iron bars of 600cm length ready to be jointed the new additional staircase of the future story.</t>
  </si>
  <si>
    <t>Construction of ceramic floor marble tiles on the landing and rise of the staircase of the building. The marble must be laid and jointed with cement sand mortar of 1:2 mixing. The sample of the marble has to be got approved from site engineer before fixing.</t>
  </si>
  <si>
    <t>Construction of ceramic floor tiles on the landing and ground floor of the staircase pavement of the building laid and jointed with cement sand mortar of 1:2 mixing. The sample of the door has to be got approved from site engineer.</t>
  </si>
  <si>
    <t>Provide and fixing of handrail made by steel hallow box of 80mmx40mmx2mm covered over it with red wooden After it coated with three anti rust paints for the steel structure and clear varnish for the wooden. The sample of the handrail has to be got approved from site engineer before fixing.</t>
  </si>
  <si>
    <t>m</t>
  </si>
  <si>
    <t>COLLECTION TO FOUR STAIR CASE</t>
  </si>
  <si>
    <t>MANSONERY WORK</t>
  </si>
  <si>
    <t>WALLING</t>
  </si>
  <si>
    <t>M3</t>
  </si>
  <si>
    <t>200x400mm block walling bedded and jointed in cement and sand (1:4) mortar, reinforcement with and including 25mm wide x 20 gauge hoop iron at every alternate course as described in:</t>
  </si>
  <si>
    <t>200mm thick superstructure walling</t>
  </si>
  <si>
    <t>FINISHES</t>
  </si>
  <si>
    <t>PLASTERED/RENDERED/ROUGHCAST COATINGS</t>
  </si>
  <si>
    <t>Cement and sand (1:3) screeds, backings, beds etc.</t>
  </si>
  <si>
    <t>15 mm thick plaster wood floated hard both ways</t>
  </si>
  <si>
    <t>Painting</t>
  </si>
  <si>
    <t>Prepare and apply three coats first quality silk vinyl emulsion pain on:-</t>
  </si>
  <si>
    <t>Plastered Surfaces internally and externally whitewashing and painting</t>
  </si>
  <si>
    <t>TILE WORKS:</t>
  </si>
  <si>
    <t>600X600 x 8mm thick colored Ceramic Floor tiles include 100 x 20mm skirting</t>
  </si>
  <si>
    <t>Ditto for wall tiles in toilets</t>
  </si>
  <si>
    <t>DOORS</t>
  </si>
  <si>
    <t>45mm thick solid core flush Turkish door or equivalent to B.S 459: parts faced both sides with 6mm mahogany veneered plywood and lipped on all edges in hardwood, including all planted molding. Complete with heavy duty hinges, brass locks and glass vent light</t>
  </si>
  <si>
    <t>No</t>
  </si>
  <si>
    <t>Extra - over for</t>
  </si>
  <si>
    <t>100 mm Diameter Fulbora outlets</t>
  </si>
  <si>
    <t>Swan-neck, 600mm long</t>
  </si>
  <si>
    <t>Bends</t>
  </si>
  <si>
    <t>Rainwater anti-splash shoe</t>
  </si>
  <si>
    <t>ELECTRICAL INSTALLATIONS</t>
  </si>
  <si>
    <t>Type 4S - 4x18w surface mount flourescent light fitting as Phillips or equivalent</t>
  </si>
  <si>
    <t>Type 4S - 2x18w surface mount flourescent light fitting Phillips or equivalent</t>
  </si>
  <si>
    <t>Switches</t>
  </si>
  <si>
    <t>13 Amps one gang one way switch original gold color</t>
  </si>
  <si>
    <t>5 Amps two gang one way switch original gold</t>
  </si>
  <si>
    <t>Socket outlets</t>
  </si>
  <si>
    <t>Supply and installation of fused shuttered switched socket outlet to comply with relevant BS standard (Clipsal, Orange, Crabtree/ Tenby/ABB or equivalent). Wiring (including supply of earth wire and all other material required) of above socket outlet using approved type 2.5mm² PVC/PVC copper cable and 2.5mm² earth wire drawn through securely fixed concealed PVC conduit in a ring circuit. Socket outlet points</t>
  </si>
  <si>
    <t>13 A twin sockets outlet</t>
  </si>
  <si>
    <t>CABLES, CABLE PATHWAYS AND CONDUITS</t>
  </si>
  <si>
    <t>Supply, install, test and commission 450/750 volts 6491X cables with all required accessories for proper installation and operation including conduits, pipes( each cable in separate conduit or pipe), cable lugs, ties... etc. as shown on drawing, as per the preamble, the specifications and supervision engineer's requirements.</t>
  </si>
  <si>
    <t>Supply, install and connect complete 1.5 sq. mm color-coded SC cables to lighting points drawn in Concealed /surface 20mm HG PVC conduits, complete with draw boxes, switch boxes and other necessary accessories.</t>
  </si>
  <si>
    <t>Meters</t>
  </si>
  <si>
    <t>Allow for structured cabling with network points as described neatly concealed in 4x2" metal trucking</t>
  </si>
  <si>
    <t>Lumpsum</t>
  </si>
  <si>
    <t>HVAC: Supply, Deliver, Install, Test and Commission the following AC indoor units including with all accessories including all connections as described.</t>
  </si>
  <si>
    <t>Provide and connection of 18,000BTU split air conditions with all required fitting and fixer</t>
  </si>
  <si>
    <t>PLUMBING INSTALLATIONS</t>
  </si>
  <si>
    <t>PIPING</t>
  </si>
  <si>
    <t>Supply, deliver and install pipes, tubing and fittings as described and shown on the drawings. The pipes shall be PPR PN 20 pipes and all conforming to the current European standards for PPR installations and to the Engineers approval, pipe jointing shall be by polyfusion or use of electric coupling and to manufacturer's printed instructions. Rates must allow for all Metal/plastic threaded adaptors where required, valves, unions, sockets, sliding and fixed joints, support raceways, isolating sheaths, elastic material, expansion arms and bends, crossovers, couplings, clippings, connectors, joints and for the connection of sanitary fixtures etc. as required in the running lengths of pipework and also where necessary, for pipe fixing clips, holder bats plugged and screwed for the proper and satisfactory functioning of the system. The pipes will be pressure tested before the plastering of wall commences and as per the manufacturers recommended testing procedures. The sizes indicated are the minimum bore sizes.</t>
  </si>
  <si>
    <t>Supply and install heavy duty PPR pipes including all connections</t>
  </si>
  <si>
    <t>SANITARY INSTALLATIONS</t>
  </si>
  <si>
    <t>Sanitary appliances complete with all the connections to services, waste, jointing to supply overflows and plugging and scewing to the floors. Where trade names are mentioned below, the reference is intended to be as a guide to the type of fitting.</t>
  </si>
  <si>
    <t>Pedestal wash hand basin in white vitreous china or equivalent size 500x400 mm complete with 'Aztec' chromed taps and handles, a 32mm diameter chrome plated pop-up waste and a 32mm Caradon Terrain' plastic bottle trap. Wash hand basin to be as 'Twyford Galerie Design' or equivalent and approved</t>
  </si>
  <si>
    <t>NO</t>
  </si>
  <si>
    <t>Water closet (W.C.) suite in white vitreous china or equivalent comprising: Glazed W.C. pan with heavy duty unbreakable plastic seat and cover, close couple cistern and fittings, 6.0 liters, including chrome lever and cover clip and WC outlet connector. The cistern to have internal overflow. Water closet pan to be as 'Twyford classic' or equivalent and approved</t>
  </si>
  <si>
    <t>Recessed toilet roll holder in white vitreous china or equivalent size 150x150 mm. To be as 'Twyford' or equivalent and approved</t>
  </si>
  <si>
    <t>Wall-mounted push-button soap dispenser complete with initial charge and mounting brackets. Soap dispenser to be as 'Star mix' or equal and approved</t>
  </si>
  <si>
    <t>6 mm thick polished beveled plate glass mirror size 610x610 mm on foam and 6 mm plywood timber backing in hard wood timber framing fixed on wall with dome headed brass screws</t>
  </si>
  <si>
    <t>PVC floor trap</t>
  </si>
  <si>
    <t>PVC towel holder placed 1800mm above ground</t>
  </si>
  <si>
    <t>Allow for all connections, pressure testing at 4 bars for 24hours and commissioning of the sanitary fittings and accessories to the entire satisfaction of the Engineer.</t>
  </si>
  <si>
    <t xml:space="preserve">Construction of 100cmx100cm masonry cement blocks manholes laid by cement sand mortar of 1:4 with connection PVC pipes of  Ø150mm diameter. The item includes all necessary excavation, cement bloc masonry, cover slab (1:2:4) with nominal reinforcement, plastering and finishing etc. complete as per engineers satisfaction.  </t>
  </si>
  <si>
    <t>Item</t>
  </si>
  <si>
    <t xml:space="preserve">Provide and fix for the toilet all required plumbing material such as height pressure PVC of diameter Ø 1½" feeder pipes from nearest available water source inside of the building, with all required fittings (Elbows, T-joints, regulator valves etc.). The price should include excavation of trench and fixing   </t>
  </si>
  <si>
    <t>GRAND TOTAL FOR MAIN BUILDING</t>
  </si>
  <si>
    <t>EXCAVATION AND EARTH WORKS OF FOOTING</t>
  </si>
  <si>
    <t>3.76+2+3.35+0.5</t>
  </si>
  <si>
    <t>Excavation of column footings, starting at natural levels, including all necessary tools embankment shattering, and all other incidentals required to finish the work to the design levels, the price includes removal of surplus materials from site to an approved dumping area, complete as per drawings, specifications and directions of supervising engineer.</t>
  </si>
  <si>
    <t>NOTE</t>
  </si>
  <si>
    <t>(1.2 * 1.2* 1 )*2</t>
  </si>
  <si>
    <t>Footing colum base D (Veranda)</t>
  </si>
  <si>
    <t>Footing colum base A (main hall)</t>
  </si>
  <si>
    <t>Footing colum base B (Stair case)</t>
  </si>
  <si>
    <t>Footing colum base C (wc)</t>
  </si>
  <si>
    <t xml:space="preserve">Excavate strip wall  foundation at  600mm wide and 400mm deep from aligned surface level </t>
  </si>
  <si>
    <t xml:space="preserve">400mm thick for rubble stone for wal foundation </t>
  </si>
  <si>
    <t>Construction of 5cm thick of Plain  concrete of class 15 ( 1:3:6 mixing) under the strip foundation of the building.</t>
  </si>
  <si>
    <t>(1.2 * 1.2* 0.05 )*2</t>
  </si>
  <si>
    <t>Construct RC footing for all all 12 columns reinfore Y16 Distributio bars and main bars box @150m c/c using salfate resistant cement.</t>
  </si>
  <si>
    <t>(1.2 * 1.2* 0.4 )*2</t>
  </si>
  <si>
    <t>Colum footing pad A (main hall)</t>
  </si>
  <si>
    <t>Colum footing pad B (Stair case)</t>
  </si>
  <si>
    <t>Colum footing pad C (wc)</t>
  </si>
  <si>
    <t>Colum footing pad D (Veranda)</t>
  </si>
  <si>
    <t>Cast 12 Nos Columns base as specefied dimentions  for width,depth and height. using 6Y 14mm each with 6mm link bars spaced @ 120 c/c as per the drawing design use SRC.</t>
  </si>
  <si>
    <t>(0.2 * 0.2* 1.2 )*2</t>
  </si>
  <si>
    <t>Colum neck (base) A (main hall)</t>
  </si>
  <si>
    <t>Colum neck (base) B (Stair case)</t>
  </si>
  <si>
    <t>Colum neck (base) C (wc)</t>
  </si>
  <si>
    <t>Colum neck (base) D (Veranda)</t>
  </si>
  <si>
    <t>RUBBLE STONE FOR FOUNDATION AND GRADE BEAM</t>
  </si>
  <si>
    <t>Excavate foundaton and construct 400mm thick natural stone rubble foundation bedded and jointed in cement and sand (1:4) mortar, compacted and laid in stages of 100mm</t>
  </si>
  <si>
    <t>DAMP PROOFING , ANTI-TERMITE TREATMENTAND FLOOR SLAB</t>
  </si>
  <si>
    <t>Supply and lay approved sub-base material ( CARO KAWO) of 30 cm thickness for each layer with CBR.&gt; 30%, watering and compaction up to 98% maximum dry density according to modified proctor test. the work including the staircase and ramp of the building.per specifications &amp; Engineer Instructions</t>
  </si>
  <si>
    <t>200mm thick murram or other approved backfill material, well compacted and levelled inside floor of the integrated market.</t>
  </si>
  <si>
    <t>100mm thick stone hardcore filling well compacted and levelled.</t>
  </si>
  <si>
    <t>SUPPER-STRUCTURE</t>
  </si>
  <si>
    <t>Div.02-0-0000</t>
  </si>
  <si>
    <t>Cast 12 Nos Columns as specefied dimentions  for width,depth and height. using 6Y 14mm each with 6mm link bars spaced @ 120 c/c as per the drawing design use SRC.</t>
  </si>
  <si>
    <t>Colum height A (main hall)</t>
  </si>
  <si>
    <t>Colum height B (Stair case)</t>
  </si>
  <si>
    <t>Colum height C (wc)</t>
  </si>
  <si>
    <t>Colum heightD (Veranda)</t>
  </si>
  <si>
    <t>(0.2 * 0.2* 4 )*2</t>
  </si>
  <si>
    <t>Cast the 170mm thick first floor slab using Y12 spacing at 150cm both direction,this includes formwork and all the support concrete.using coarse sand and and washed aggregate, in required shape and design, including forms, moulds, shuttering, lifting, compacting and curing</t>
  </si>
  <si>
    <t>Supply and install compartment floor recessed metallic electrical floor box with flap cover complete with lifting handle, cable flaps, as Crabtree Britmac or equal and approved</t>
  </si>
  <si>
    <t>ROOFING FACILITIES AND PARAPET WALL</t>
  </si>
  <si>
    <t>(17.6*3)</t>
  </si>
  <si>
    <t>(17.6*3*2)</t>
  </si>
  <si>
    <t>UPPER ROOM WALLING</t>
  </si>
  <si>
    <t>PARAPET WALLING</t>
  </si>
  <si>
    <t>Roofing Structure: Provide and fix the following truss members, galvanized iron sheets gauge 28 complete with capped nails, straps and holding-down hoop irons embedded in the holding steel channels. The trusses will have common rafters, tie member, struts as follows:-</t>
  </si>
  <si>
    <t>M</t>
  </si>
  <si>
    <t>Galvanized Coloured (factory pre-painted) Iron Sheets gauge 28 for roofing</t>
  </si>
  <si>
    <t>Sawn 100x50mm (4''x2") softwood timber for rafters and bottom tie member</t>
  </si>
  <si>
    <t>Sawn 75x50mm (3''x2") softwood timber for struts and ties (interior members)</t>
  </si>
  <si>
    <t>Sawn 75x50mm (3''x2") softwood timber for purlins</t>
  </si>
  <si>
    <t>Sawn 100x50mm (4''x2") softwood timber for wall plate</t>
  </si>
  <si>
    <t>Supply and fix 250x25mm softwood fascia board to approval. The faciaboad to be primed and painted in three coats of weather proof paint satisfactorily</t>
  </si>
  <si>
    <t>Heavy duty PVC rainwater downpipes size 75 dia. X 4m Fixed to walls with and including holder bats at 1200mm centers</t>
  </si>
  <si>
    <t>Plastic gutters with straps at every 1m fixed to fascia board/rafters as described in:</t>
  </si>
  <si>
    <t>150 x 200 mm plastic gutter, fixed to timber fascia (m.s.) with approved straps</t>
  </si>
  <si>
    <t>Roofing and Rain Water Goods</t>
  </si>
  <si>
    <t>4*2.4</t>
  </si>
  <si>
    <t xml:space="preserve">Allow for construction and equiping of septic  to serve all building in the compound. Allow for connection of all foul lines to the septic tank to the satisfaction of the engineer (Septic Tank dimensions 5x3.5x3m deep) </t>
  </si>
  <si>
    <t>Sum</t>
  </si>
  <si>
    <t>SEPTIC TANK, CONNECTION AND  MISC. ITEMS</t>
  </si>
  <si>
    <t>(0.8*3*2)</t>
  </si>
  <si>
    <t>metal door</t>
  </si>
  <si>
    <t>DIVISON NUMBER</t>
  </si>
  <si>
    <t>Div.03-0-0000</t>
  </si>
  <si>
    <t>Div.04-0-0000</t>
  </si>
  <si>
    <t>Div.05-0-0000</t>
  </si>
  <si>
    <t>Div.06-0-0000</t>
  </si>
  <si>
    <t>Total of substructure</t>
  </si>
  <si>
    <t>Total of supper-structure</t>
  </si>
  <si>
    <t xml:space="preserve">Total of roofing facilities and parapet wall </t>
  </si>
  <si>
    <t>Total of doors and windows installation</t>
  </si>
  <si>
    <t>Total of electrical installations</t>
  </si>
  <si>
    <t>Total of plumbing and sanitary installations</t>
  </si>
  <si>
    <t>Total of substructure Work</t>
  </si>
  <si>
    <t>SUBSTRUCTURE WORK</t>
  </si>
  <si>
    <t>Total of supper-structure work</t>
  </si>
  <si>
    <t>2*3.02+2.4*4.02</t>
  </si>
  <si>
    <t>Div.03-F-0001</t>
  </si>
  <si>
    <t>Div.03-F-0002</t>
  </si>
  <si>
    <t>Div.03-F-0003</t>
  </si>
  <si>
    <t>Div.03-F-0004</t>
  </si>
  <si>
    <t>Div.03-F-0005</t>
  </si>
  <si>
    <t>Div.03-F-0006</t>
  </si>
  <si>
    <t>Div.03-F-0007</t>
  </si>
  <si>
    <t>Div.04-A-0001</t>
  </si>
  <si>
    <t>Div.04-A-0002</t>
  </si>
  <si>
    <t>Div.04-A-0003</t>
  </si>
  <si>
    <t>Div.04-B-0001</t>
  </si>
  <si>
    <t>Div.04-B-0002</t>
  </si>
  <si>
    <t>Div.04-B-0003</t>
  </si>
  <si>
    <t xml:space="preserve"> flourescent light fitting</t>
  </si>
  <si>
    <t>Div.05-B-0001</t>
  </si>
  <si>
    <t>Div.05-B-0002</t>
  </si>
  <si>
    <t>Div.05-B-0003</t>
  </si>
  <si>
    <t>Div.05-B-0004</t>
  </si>
  <si>
    <t>Div.03-D-0001</t>
  </si>
  <si>
    <t>Div.03-D-0002</t>
  </si>
  <si>
    <r>
      <t>M</t>
    </r>
    <r>
      <rPr>
        <vertAlign val="superscript"/>
        <sz val="11"/>
        <color indexed="8"/>
        <rFont val="Calibri"/>
        <family val="2"/>
      </rPr>
      <t>2</t>
    </r>
  </si>
  <si>
    <t>Remove the steel gate and demolish the existing columns upto the required space</t>
  </si>
  <si>
    <t>LS</t>
  </si>
  <si>
    <t>Nr</t>
  </si>
  <si>
    <t>No.</t>
  </si>
  <si>
    <t>Boom Gate</t>
  </si>
  <si>
    <t>Supply materials and construct boom gate overall 6550mm long comprising of 2No. 140mm dia x 6mm thick mild steel pipes main members, 140 dia x 6mm thick mild steel bracings; two sets of vertical supports each with 4No.Galvanises steel posts size 160x80x5mm thick SHS overall 2700mm high with 1500mm embedded on the ground with concrete; 1160mm long 160x80x5mm thick SHS horizontal member on each vertical support;50x50x5mm thick SHS bracings to the vertical supports as per the drawing; 1100x700x650mm steel box with handles and filled with lightweight concrete; end rest to steel box in 50x50x5mm SHS members; all steel members to be painted with white reflective paint: Price to include all concrete work, excavation and earthworks; All to the details provided and the Site Engineer's instructions (Refer to architectural details)</t>
  </si>
  <si>
    <t xml:space="preserve"> BILL NO. #</t>
  </si>
  <si>
    <t>TOTAL AMOUNT</t>
  </si>
  <si>
    <t>BILL NO. 1</t>
  </si>
  <si>
    <t>CONSTRUCTION REVENUE MAIN BLOCK</t>
  </si>
  <si>
    <t>BILL NO. 2</t>
  </si>
  <si>
    <t xml:space="preserve">TOTAL PROJECT COST </t>
  </si>
  <si>
    <t>WORK DESCRIPTION</t>
  </si>
  <si>
    <t>REPLACEMENT OF MAIN ENTRY GATE</t>
  </si>
  <si>
    <t>Construct of R.C arc on the top of  main entry gates including excavation of foundation columns, form work, construction gate ram with concrete slab 100mm, paintings etc. (see drawings) work include Apply two coats white wash and distemper paint to the existing fencing wall surface.</t>
  </si>
  <si>
    <t>Mild steel framed  double leaf door overall size 4000x3080mm high made out of 75x50 x3mm thick RHS cold rolled steel frame, stiles, top, bottom and middle rails; covered one-sided with 1.5mm thick mild steel plate; with 25x25x3mm ms section enforcers ;with an inbuilt pedestrian gate in one leaf;overall size 900x1800mm high made out of 50x50 x3mm SHS thick cold rolled steel frames, stiles, top, bottom and middle rails; covered one-sided with 1.5mm thick mild steel plate; with 25x25x3mm ms SHS section enforcers; steel members to be thoroughly cleaned and phosphatized to resist corrosion before receiving one coat of grey rust inhibiting primer;and apply two coats of pure white undercoat and two coats of blue oil paint on metal:-  including grouting frame to concrete with approved metal lugs, securing door leafs with heavy duty hinges to manufacturer's specification and approval on site; complete with tower bolt fitting fixed to shutter (Refer to architectural details) (Gate 01/02)</t>
  </si>
  <si>
    <t>Main gate: Mild steel framed  double leaf door overall size 4000x3080mm</t>
  </si>
  <si>
    <t>4000x3080mm</t>
  </si>
  <si>
    <t>MAIN GATE AND BOOM GATE</t>
  </si>
  <si>
    <t>MAIN GATE INSTALLATION WORK</t>
  </si>
  <si>
    <t>(1.2 * 1.2* 1 )</t>
  </si>
  <si>
    <t>(1.2 * 1.2* 0.05 )*1</t>
  </si>
  <si>
    <t>Footing colum base A (Shoulder Colum - Main Gate)</t>
  </si>
  <si>
    <t>Footing colum base B (Shoulder colum- Pedestrian door)</t>
  </si>
  <si>
    <t>(1.2 * 1.2* 0.2 )*1</t>
  </si>
  <si>
    <t>(0.2 * 0.2* 3 )*1</t>
  </si>
  <si>
    <t>(0.3 * 0.4* 4)*2</t>
  </si>
  <si>
    <t>Construct arc beam 300mm wide, 300mm thick of reinforced concrete Tie beam usinig SRC of 1:2:4 mixing ratio with # 8 Y14 and staffs of 8mm@ 250mm/cc over foundation wall including staircase and access ramps</t>
  </si>
  <si>
    <t>0.3*0.3*6</t>
  </si>
  <si>
    <t>(6*1)*2</t>
  </si>
  <si>
    <t>Parapet wall plaster</t>
  </si>
  <si>
    <t>Colum and Arc Beam Plaster</t>
  </si>
  <si>
    <t>1*4*3</t>
  </si>
  <si>
    <t>Supply and fix Pedestrian door  (two leaves) 1.2m wide and 2.2m high to R.C columns of the new arc with two lockable  position on the out side and inside.</t>
  </si>
  <si>
    <t>1200 *2200mm</t>
  </si>
  <si>
    <t>Rain water goods interlock apron</t>
  </si>
  <si>
    <t>Div.BN_1-0-0000</t>
  </si>
  <si>
    <t>Div.BN_1-A-0000</t>
  </si>
  <si>
    <t>Div.BN_1-A-0001</t>
  </si>
  <si>
    <t>Div.BN_1-A-0002</t>
  </si>
  <si>
    <t>Div.BN_1-A-0003</t>
  </si>
  <si>
    <t>Div.BN_1-A-0004</t>
  </si>
  <si>
    <t>Div.BN_1-B-0000</t>
  </si>
  <si>
    <t>Div.BN_1-B-0001</t>
  </si>
  <si>
    <t>Div.BN_1-B-0002</t>
  </si>
  <si>
    <t>Div.BN_1-B-0003</t>
  </si>
  <si>
    <t>Div.BN_1-B-0004</t>
  </si>
  <si>
    <t>Div.BN_1-B-0005</t>
  </si>
  <si>
    <t>Div.BN_1-B-0006</t>
  </si>
  <si>
    <t>Div.BN_1-B-0007</t>
  </si>
  <si>
    <t>Div.BN_1-B-0008</t>
  </si>
  <si>
    <t>Div.BN_1-B-0009</t>
  </si>
  <si>
    <t>Div.BN_1-B-0010</t>
  </si>
  <si>
    <t>Div.BN_1-B-0011</t>
  </si>
  <si>
    <t>Div.BN_1-B-0012</t>
  </si>
  <si>
    <t>Div.BN_1-C-0000</t>
  </si>
  <si>
    <t>Div.BN_1-D-0000</t>
  </si>
  <si>
    <t>Div.BN_1-E-0000</t>
  </si>
  <si>
    <r>
      <t>M</t>
    </r>
    <r>
      <rPr>
        <vertAlign val="superscript"/>
        <sz val="14"/>
        <color rgb="FF000000"/>
        <rFont val="Arial"/>
        <family val="2"/>
      </rPr>
      <t>2</t>
    </r>
  </si>
  <si>
    <t>In meeting halls,  construct the gypsum ceiling boards fixed to walls, 2”x2” brandering timber and trusses complete with 100mm cornice. Fix the new ceiling just below the Main beams, so that no beams and/or girders are ever visible.</t>
  </si>
  <si>
    <t>Backfilling and Disposal of Surplus spoils</t>
  </si>
  <si>
    <t xml:space="preserve">Fill the low area with selected material (moram) ensuring proper leveling and slope towards the drainage.Compact the fill material thoroughly for stability and proper settling </t>
  </si>
  <si>
    <t>Interlocking concrete tiles</t>
  </si>
  <si>
    <t>Div.03-G-0001</t>
  </si>
  <si>
    <t>10*15*0.2</t>
  </si>
  <si>
    <t xml:space="preserve">Supply and fix precast interlocking tiles 75mm to 80mm thick of approved quality design and colour in main gate entrance jointed with neat cement slurry mixed with pigment of required shade to match the shade of tiles including rubbing and cleaning etc dark shade pigments using white cement including carriage complete.Restrained along the edges with 125 x 250mm Precast concrete (class 20) kerb with once chamfered edge laid on and including 450 x 100mm plain concrete (1:3:6) foundation haunched up on one side including all necessary excavations formwork etc.     </t>
  </si>
  <si>
    <t>Waterproofing over slab</t>
  </si>
  <si>
    <t>Non Sleep Laser cut tiles Ceramic : 300x300 x8mm and 600x600x8mmHigh quility ceramic for toilets and Kichen including bed preparation, bedding and grout.Providing and laying first quality (Laser Cut)  ceramic non-slip tiles, backing of cement mortar (1 cement : 3 course sand). White cement should be placed properly at every joint of floor tiles. as per Technical Specifications and drawing sheet # A-103,104 and 112.</t>
  </si>
  <si>
    <t>Gypsum ceiling boards installation work</t>
  </si>
  <si>
    <t>50mm thick single door overall size 1200x2100mm high</t>
  </si>
  <si>
    <t xml:space="preserve">PVC Door
Product to be at PVC-7000, Turkish standard (or equivalent) approved by Engineer.The cost includes supplying, installation, hardware, glazing, anti-blast film on inner side, fly screen, and any other accessories and auxiliary materials including silicon joint sealer, etc. to a complete and approved job. See drawings and given docs for details.- Hinges should be UL listed hinges. 
- PVC frame Type A-70 PVC shall be used.- All door and frame components including, but not limited to, cores, faces, stiles, rails, heads, jambs, and internal reinforcement are to be PVC shapes manufactured in accordance with ASTM D 3678. </t>
  </si>
  <si>
    <t>(38*1.2)</t>
  </si>
  <si>
    <t>(38*1.2*2)</t>
  </si>
  <si>
    <t>Local Goverment Revenue Hall - 2025</t>
  </si>
  <si>
    <t xml:space="preserve"> BoQ for extention of Baidoa District </t>
  </si>
  <si>
    <t xml:space="preserve">Engineers'estimate Project Cost Summary </t>
  </si>
  <si>
    <t>DIV. BN-2-X-00</t>
  </si>
  <si>
    <t>DIV. BN-2-A-01</t>
  </si>
  <si>
    <t>DIV. BN-2-A-00</t>
  </si>
  <si>
    <t>DIV. BN-2-A-02</t>
  </si>
  <si>
    <t>DIV. BN-2-A-03</t>
  </si>
  <si>
    <t>DIV. BN-2-B-00</t>
  </si>
  <si>
    <t>DIV. BN-2-B-01</t>
  </si>
  <si>
    <t>DIV. BN-2-B-02</t>
  </si>
  <si>
    <t>DIV. BN-2-B-03</t>
  </si>
  <si>
    <t>DIV. BN-2-B-04</t>
  </si>
  <si>
    <t>DIV. BN-2-B-05</t>
  </si>
  <si>
    <t>DIV. BN-2-B-06</t>
  </si>
  <si>
    <t>DIV. BN-2-B-07</t>
  </si>
  <si>
    <t>DIV. BN-2-B-08</t>
  </si>
  <si>
    <t>DIV. BN-2-C-00</t>
  </si>
  <si>
    <t>DIV. BN-2-C-01</t>
  </si>
  <si>
    <t>DIV. BN-2-C-02</t>
  </si>
  <si>
    <t>DIV. BN-2-C-03</t>
  </si>
  <si>
    <t>DIV. BN-2-C-04</t>
  </si>
  <si>
    <t>DIV. BN-2-D-00</t>
  </si>
  <si>
    <t>DIV. BN-2-D-01</t>
  </si>
  <si>
    <t>DIV. BN-2-D-02</t>
  </si>
  <si>
    <t>DIV. BN-2-D-03</t>
  </si>
  <si>
    <t>Div.BN_1-C-0001</t>
  </si>
  <si>
    <t>Div.BN_1-C-0002</t>
  </si>
  <si>
    <t>Div.BN_1-C-0003</t>
  </si>
  <si>
    <t>Div.BN_1-D-0001</t>
  </si>
  <si>
    <t>Div.BN_1-D-0002</t>
  </si>
  <si>
    <t>Div.BN_1-D-0003</t>
  </si>
  <si>
    <t>ENTRANCE GATE AND  SECURITY BOOM GATE</t>
  </si>
  <si>
    <t>Div.BN_1-E-0001</t>
  </si>
  <si>
    <t>Div.BN_1-E-0002</t>
  </si>
  <si>
    <t>Div.BN_1-E-0003</t>
  </si>
  <si>
    <t>Div.BN_1-F-0000</t>
  </si>
  <si>
    <t>Div.BN_1-F-0001</t>
  </si>
  <si>
    <t>Div.BN_1-F-0002</t>
  </si>
  <si>
    <t>Div.BN_1-F-0003</t>
  </si>
  <si>
    <t>Div.BN_1-F-0004</t>
  </si>
  <si>
    <t>Div.BN_1-F-0005</t>
  </si>
  <si>
    <t>Div.BN_1-F-0006</t>
  </si>
  <si>
    <t>Div.BN_1-F-0007</t>
  </si>
  <si>
    <t>Div.BN_1-G-0000</t>
  </si>
  <si>
    <t>Div.BN_1-G-0001</t>
  </si>
  <si>
    <t>Div.BN_1-G-0002</t>
  </si>
  <si>
    <t>Div.BN_1-G-0003</t>
  </si>
  <si>
    <t>Div.BN_1-G-0004</t>
  </si>
  <si>
    <t>Div.BN_1-G-0005</t>
  </si>
  <si>
    <t>Supply, assemle and fix the following purpose made (standard W20 heavy duty sections) steel casement windows finished in one coat red oxide prime complete with opening accessories and permanent vents for the full width of window as detailed including cuMBng and 4mm thick toughened glazing fixing lugs to stone wall and pointing all round frames in mastic with 25 x 3mm steel flats burglarproofing at opening sashes only and full gloss decoration as necessary;</t>
  </si>
  <si>
    <t>Window size 500 x 600mm (AW02)</t>
  </si>
  <si>
    <t>Window size 800 x 3000mm (AW03)</t>
  </si>
  <si>
    <t>(ALL PROVISIONAL)</t>
  </si>
  <si>
    <t>LM</t>
  </si>
  <si>
    <t>ALUMINUM WINDOWS</t>
  </si>
  <si>
    <t>Plaster</t>
  </si>
  <si>
    <t>12mm (minimum) Two-coat lime plaster, finish, as described to:-</t>
  </si>
  <si>
    <t>Concrete or stone walls : steel trowelled</t>
  </si>
  <si>
    <t>Painting and decorating</t>
  </si>
  <si>
    <t>Plastered walls</t>
  </si>
  <si>
    <r>
      <rPr>
        <b/>
        <sz val="10"/>
        <rFont val="Calibri"/>
        <family val="2"/>
      </rPr>
      <t>Provide continuous waterproofing membrane 5mm beneath sloping mortar bed.</t>
    </r>
    <r>
      <rPr>
        <sz val="10"/>
        <rFont val="Calibri"/>
        <family val="2"/>
      </rPr>
      <t xml:space="preserve">
Waterproofing at floor-mounted water closets shall be accomplished by forming a flashing guard from soft-tempered water proofing membrane Conform to ASTM D 226, Type 1 for 33 kg waterproofing membrane,
asphalt-saturated building felt. Conform to ASTM D 4068 0.0102 for
polyethylene film.include Instalaation of Damp proofing over the slab roof using tarmac sheets and cieled mortar.</t>
    </r>
  </si>
  <si>
    <r>
      <rPr>
        <b/>
        <sz val="11"/>
        <color rgb="FF000000"/>
        <rFont val="Calibri"/>
        <family val="2"/>
      </rPr>
      <t>Window cills:</t>
    </r>
    <r>
      <rPr>
        <sz val="11"/>
        <color rgb="FF000000"/>
        <rFont val="Calibri"/>
        <family val="2"/>
      </rPr>
      <t xml:space="preserve"> 200mm x 100mm precast concrete window sill pointed in  cement and sand (1:3) mortar</t>
    </r>
  </si>
  <si>
    <t xml:space="preserve">INTERNAL AND EXTERNAL PARAPET WALL FINISHES </t>
  </si>
  <si>
    <t xml:space="preserve">INTERNAL AND EXTERNAL  WALL FINISHES </t>
  </si>
  <si>
    <t xml:space="preserve">Plastered Wall Surfaces internally and externally </t>
  </si>
  <si>
    <t>Div.BN_1-H-0000</t>
  </si>
  <si>
    <t>Div.BN_1-I-0000</t>
  </si>
  <si>
    <t>Div.BN_1-J-0000</t>
  </si>
  <si>
    <t>Div.BN_1-K-0000</t>
  </si>
  <si>
    <t>Div.BN_1-L-0000</t>
  </si>
  <si>
    <t>Div.BN_1-N-0000</t>
  </si>
  <si>
    <t>Div.BN_1-O-0000</t>
  </si>
  <si>
    <t>Div.BN_1-P-0000</t>
  </si>
  <si>
    <t>Div.BN_1-Q-0000</t>
  </si>
  <si>
    <t>Div.BN_1-R-0000</t>
  </si>
  <si>
    <t>Div.BN_1-S-0000</t>
  </si>
  <si>
    <t>Div.BN_1-T-0000</t>
  </si>
  <si>
    <t>Div.BN_1-U-0000</t>
  </si>
  <si>
    <t>Div.BN_1-V-0000</t>
  </si>
  <si>
    <t>Div.BN_1-V-0001</t>
  </si>
  <si>
    <t>Div.BN_1-V-0002</t>
  </si>
  <si>
    <t>Div.BN_1-V-0003</t>
  </si>
  <si>
    <t>Div.BN_1-U-0001</t>
  </si>
  <si>
    <t>Div.BN_1-U-0002</t>
  </si>
  <si>
    <t>Div.BN_1-U-0003</t>
  </si>
  <si>
    <t>Div.BN_1-U-0004</t>
  </si>
  <si>
    <t>Div.BN_1-U-0005</t>
  </si>
  <si>
    <t>Div.BN_1-U-0006</t>
  </si>
  <si>
    <t>Div.BN_1-U-0007</t>
  </si>
  <si>
    <t>Div.BN_1-U-0008</t>
  </si>
  <si>
    <t>Div.BN_1-U-0009</t>
  </si>
  <si>
    <t>Div.BN_1-T-0001</t>
  </si>
  <si>
    <t>Div.BN_1-T-0002</t>
  </si>
  <si>
    <t>Div.BN_1-T-0003</t>
  </si>
  <si>
    <t>Div.BN_1-T-0004</t>
  </si>
  <si>
    <t>Div.BN_1-T-0005</t>
  </si>
  <si>
    <t>(54*0.2*0.1)</t>
  </si>
  <si>
    <t>0.2*0.25*(4.02+4.9*2)</t>
  </si>
  <si>
    <t>(22*(0.17+0.22)/2*0.2*1.9)+(1*0.15*2*4.02)</t>
  </si>
  <si>
    <t>22*0.2*1.9</t>
  </si>
  <si>
    <t>(0.2 * 0.4* 4 )*6</t>
  </si>
  <si>
    <t>150*0.2</t>
  </si>
  <si>
    <t>150*0.1</t>
  </si>
  <si>
    <t>(1.2 * 1.2* 1 )*4</t>
  </si>
  <si>
    <t>(1.2 * 1.2* 0.05 )*4</t>
  </si>
  <si>
    <t>(1.2 * 1.2* 0.4 )*4</t>
  </si>
  <si>
    <t>(0.2 * 0.4* 1.2 )*4</t>
  </si>
  <si>
    <t>(0.2 * 0.4* 4 )*4</t>
  </si>
  <si>
    <t>(0.2 * 0.4* 1.2 )*6</t>
  </si>
  <si>
    <t>(1.2 * 1.2* 0.4)*6</t>
  </si>
  <si>
    <t>main entrance gate door overall size 2400x320mm high</t>
  </si>
  <si>
    <t>2.4*3.2*1</t>
  </si>
  <si>
    <t>1.1*2.1*1</t>
  </si>
  <si>
    <t>Div.04-A-0004</t>
  </si>
  <si>
    <t>(3*2*1.5)</t>
  </si>
  <si>
    <t>Window size 2000 x1500mm (AW01)</t>
  </si>
  <si>
    <t>0.5*0.6*3</t>
  </si>
  <si>
    <t>Div.04-A-0005</t>
  </si>
  <si>
    <t>3*(10.4*0.1*0.07)</t>
  </si>
  <si>
    <t>Construction of reinforced concrete corbel on surrounding of external windows. 10 mlx0.10cmx0.07cm with supporting braces (see detail drawings). The concrete should be mixed by 1:2:4 and reinforced with iron bars of diameter Ø12mm and Ø 10mm</t>
  </si>
  <si>
    <t>3*(12*0.1*0.07)</t>
  </si>
  <si>
    <t>Construction of reinforced concrete corbel on surrounding of external windows. 12mlx0.10cmx0.07cm with supporting braces (see detail drawings). The concrete should be mixed by 1:2:4 and reinforced with iron bars of diameter Ø12mm and Ø 10mm</t>
  </si>
  <si>
    <r>
      <rPr>
        <b/>
        <sz val="10"/>
        <rFont val="Calibri"/>
        <family val="2"/>
      </rPr>
      <t xml:space="preserve">Veranda </t>
    </r>
    <r>
      <rPr>
        <sz val="10"/>
        <rFont val="Calibri"/>
        <family val="2"/>
      </rPr>
      <t>:Construction of reinforced concrete corbel on surrounding of verand . 12mlx0.10cmx0.07cm with supporting braces (see detail drawings). The concrete should be mixed by 1:2:4 and reinforced with iron bars of diameter Ø12mm and Ø 10mm</t>
    </r>
  </si>
  <si>
    <r>
      <rPr>
        <b/>
        <sz val="10"/>
        <rFont val="Calibri"/>
        <family val="2"/>
      </rPr>
      <t xml:space="preserve">Veranda </t>
    </r>
    <r>
      <rPr>
        <sz val="10"/>
        <rFont val="Calibri"/>
        <family val="2"/>
      </rPr>
      <t>:Construction of reinforced concrete corbel on surrounding of verand . 7.6 *0.2 mx0.2m with supporting braces (see detail drawings). The concrete should be mixed by 1:2:4 and reinforced with iron bars of diameter Ø12mm and Ø 10mm</t>
    </r>
  </si>
  <si>
    <t>Veranda Stair case with Ramp and Railling</t>
  </si>
  <si>
    <t>Div.03-G-0002</t>
  </si>
  <si>
    <t>INTERLOCKING TILES AND VERANDA STAIR CASE</t>
  </si>
  <si>
    <t>Supply and fix Two viper glass water tank of 2cum capacity. Include all necessary fittings and connections.</t>
  </si>
  <si>
    <t>Div.BN_1-V-0004</t>
  </si>
  <si>
    <t>(1.2 * 1.2* 0.05)*6</t>
  </si>
  <si>
    <t>(1.2 * 1.2* 1 )*6</t>
  </si>
  <si>
    <t>Div.BN_1-H-0001</t>
  </si>
  <si>
    <t>Div.BN_1-I-0001</t>
  </si>
  <si>
    <t>Div.BN_1-I-0002</t>
  </si>
  <si>
    <t>Div.BN_1-J-0001</t>
  </si>
  <si>
    <t>Div.BN_1-J-0002</t>
  </si>
  <si>
    <t>Div.BN_1-J-0003</t>
  </si>
  <si>
    <t>Div.BN_1-J-0004</t>
  </si>
  <si>
    <t>Div.BN_1-J-0005</t>
  </si>
  <si>
    <t>Div.BN_1-J-0006</t>
  </si>
  <si>
    <t>Div.BN_1-J-0007</t>
  </si>
  <si>
    <t>Div.BN_1-K-0001</t>
  </si>
  <si>
    <t>Div.BN_1-L-0001</t>
  </si>
  <si>
    <t>Div.BN_1-L-0002</t>
  </si>
  <si>
    <t>Div.BN_1-L-0003</t>
  </si>
  <si>
    <t>Div.BN_1-O-0001</t>
  </si>
  <si>
    <t>Div.BN_1-O-0002</t>
  </si>
  <si>
    <t>Div.BN_1-O-0003</t>
  </si>
  <si>
    <t>Div.BN_1-O-0004</t>
  </si>
  <si>
    <t>Div.BN_1-O-0005</t>
  </si>
  <si>
    <t>Div.BN_1-O-0006</t>
  </si>
  <si>
    <t>0.4*0.2*12</t>
  </si>
  <si>
    <t>0.2*0.2*8</t>
  </si>
  <si>
    <t>DIV. BN-2-B-09</t>
  </si>
  <si>
    <t>DIV. BN-2-B-10</t>
  </si>
  <si>
    <t>(1.2 * 1.2* 1 )*8</t>
  </si>
  <si>
    <t>(1.2 * 1.2* 0.05 )*8</t>
  </si>
  <si>
    <t>(1.2 * 1.2* 0.4 )*8</t>
  </si>
  <si>
    <t>SECURITY ROOM AND PARAPET WALL ABOVE ARC</t>
  </si>
  <si>
    <t>(12*6)</t>
  </si>
  <si>
    <t>(6*12)*2</t>
  </si>
  <si>
    <t>16*0.2</t>
  </si>
  <si>
    <t>DIV. BN-2-B-11</t>
  </si>
  <si>
    <t>DIV. BN-2-B-12</t>
  </si>
  <si>
    <t>Construct 200mm wide, 200mm thick of reinforced concrete LINTLE beam usinig SRC of 1:2:4 mixing ratio with # 8 Y14 and staffs of 8mm@ 250mm/cc over foundation wall including staircase and access ramps</t>
  </si>
  <si>
    <t>Construct 400mm wide, 200mm thick of reinforced concrete Lintle  beam usinig SRC of 1:2:4 mixing ratio with # 8 Y14 and staffs of 8mm@ 250mm/cc over foundation wall including staircase and access ramps</t>
  </si>
  <si>
    <t>(0.6 *0.4 *104)</t>
  </si>
  <si>
    <t>(0.4 *0.6 *104)</t>
  </si>
  <si>
    <t>0.4*0.2*104</t>
  </si>
  <si>
    <t>120*0.2*0.5</t>
  </si>
  <si>
    <t>(73*3)</t>
  </si>
  <si>
    <t>(73*3*2)</t>
  </si>
  <si>
    <t>Five PVC Doors</t>
  </si>
  <si>
    <t>0.9*2.2*4</t>
  </si>
  <si>
    <t>1.2* 0.9*8</t>
  </si>
  <si>
    <t>Window size 1200 x 900mm (AW03)</t>
  </si>
  <si>
    <t>10*10</t>
  </si>
  <si>
    <t>1.2*2.2*2</t>
  </si>
  <si>
    <t>(2 * 2* 1.5 )*10</t>
  </si>
  <si>
    <t>(1.2 *1.2* 0.05 )*10</t>
  </si>
  <si>
    <t>(2 * 2* 0.4 )*10</t>
  </si>
  <si>
    <t>(0.2 * 0.4* 1.5 )*10</t>
  </si>
  <si>
    <t>(0.2 * 0.4* 4 )*10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</si>
</sst>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164" formatCode="&quot;$&quot;#,##0.00"/>
    <numFmt numFmtId="165" formatCode="_([$$-409]* #,##0.00_);_([$$-409]* \(#,##0.00\);_([$$-409]* &quot;-&quot;??_);_(@_)"/>
    <numFmt numFmtId="166" formatCode="_-[$$-409]* #,##0.00_ ;_-[$$-409]* \-#,##0.00\ ;_-[$$-409]* &quot;-&quot;??_ ;_-@_ "/>
  </numFmts>
  <fonts count="37" x14ac:knownFonts="1">
    <font>
      <sz val="12"/>
      <name val="Calibri"/>
    </font>
    <font>
      <b/>
      <sz val="14"/>
      <name val="Times New Roman"/>
      <family val="1"/>
    </font>
    <font>
      <sz val="10"/>
      <name val="Times New Roman"/>
      <family val="1"/>
    </font>
    <font>
      <sz val="10"/>
      <color rgb="FF000000"/>
      <name val="Calibri"/>
      <family val="2"/>
    </font>
    <font>
      <sz val="10"/>
      <name val="Arial"/>
      <family val="2"/>
    </font>
    <font>
      <sz val="12"/>
      <color rgb="FF000000"/>
      <name val="Calibri"/>
      <family val="2"/>
    </font>
    <font>
      <sz val="11"/>
      <color rgb="FF000000"/>
      <name val="Calibri"/>
      <family val="2"/>
    </font>
    <font>
      <sz val="12"/>
      <name val="Times New Roman"/>
      <family val="1"/>
    </font>
    <font>
      <sz val="12"/>
      <name val="Calibri"/>
      <family val="2"/>
    </font>
    <font>
      <b/>
      <sz val="10"/>
      <name val="Calibri"/>
      <family val="2"/>
    </font>
    <font>
      <sz val="10"/>
      <name val="Calibri"/>
      <family val="2"/>
    </font>
    <font>
      <i/>
      <sz val="10"/>
      <name val="Calibri"/>
      <family val="2"/>
    </font>
    <font>
      <i/>
      <u/>
      <sz val="10"/>
      <color rgb="FF000000"/>
      <name val="Calibri"/>
      <family val="2"/>
    </font>
    <font>
      <b/>
      <i/>
      <u/>
      <sz val="10"/>
      <name val="Calibri"/>
      <family val="2"/>
    </font>
    <font>
      <i/>
      <u/>
      <sz val="10"/>
      <name val="Calibri"/>
      <family val="2"/>
    </font>
    <font>
      <b/>
      <i/>
      <sz val="10"/>
      <name val="Calibri"/>
      <family val="2"/>
    </font>
    <font>
      <b/>
      <sz val="11"/>
      <color rgb="FF000000"/>
      <name val="Calibri"/>
      <family val="2"/>
    </font>
    <font>
      <u/>
      <sz val="11"/>
      <color rgb="FF000000"/>
      <name val="Calibri"/>
      <family val="2"/>
    </font>
    <font>
      <sz val="14"/>
      <name val="Calibri"/>
      <family val="2"/>
    </font>
    <font>
      <sz val="11"/>
      <color rgb="FF000000"/>
      <name val="Calibri"/>
      <family val="2"/>
    </font>
    <font>
      <u/>
      <sz val="11"/>
      <name val="Times New Roman"/>
      <family val="1"/>
    </font>
    <font>
      <sz val="11"/>
      <color rgb="FF000000"/>
      <name val="Calibri"/>
      <family val="2"/>
    </font>
    <font>
      <sz val="11"/>
      <color rgb="FF000000"/>
      <name val="Calibri"/>
      <family val="2"/>
    </font>
    <font>
      <sz val="11"/>
      <name val="Calibri"/>
      <family val="2"/>
    </font>
    <font>
      <sz val="12"/>
      <color rgb="FF000000"/>
      <name val="Calibri"/>
      <family val="2"/>
    </font>
    <font>
      <sz val="10"/>
      <color rgb="FF000000"/>
      <name val="Times New Roman"/>
      <family val="1"/>
    </font>
    <font>
      <sz val="10"/>
      <color indexed="8"/>
      <name val="Times New Roman"/>
      <family val="1"/>
    </font>
    <font>
      <sz val="14"/>
      <color rgb="FF000000"/>
      <name val="Calibri"/>
      <family val="2"/>
    </font>
    <font>
      <b/>
      <sz val="10"/>
      <color rgb="FF000000"/>
      <name val="Calibri"/>
      <family val="2"/>
    </font>
    <font>
      <sz val="10"/>
      <color indexed="8"/>
      <name val="Calibri"/>
      <family val="2"/>
    </font>
    <font>
      <i/>
      <sz val="9"/>
      <name val="Calibri"/>
      <family val="2"/>
    </font>
    <font>
      <sz val="12"/>
      <name val="Arial"/>
      <family val="2"/>
    </font>
    <font>
      <sz val="11"/>
      <color rgb="FF000000"/>
      <name val="Calibri"/>
      <family val="2"/>
    </font>
    <font>
      <b/>
      <sz val="15"/>
      <color rgb="FF435369"/>
      <name val="Calibri"/>
      <family val="2"/>
    </font>
    <font>
      <i/>
      <sz val="10"/>
      <name val="Arial"/>
      <family val="2"/>
    </font>
    <font>
      <vertAlign val="superscript"/>
      <sz val="11"/>
      <color indexed="8"/>
      <name val="Calibri"/>
      <family val="2"/>
    </font>
    <font>
      <vertAlign val="superscript"/>
      <sz val="14"/>
      <color rgb="FF000000"/>
      <name val="Arial"/>
      <family val="2"/>
    </font>
  </fonts>
  <fills count="11">
    <fill>
      <patternFill patternType="none"/>
    </fill>
    <fill>
      <patternFill patternType="gray125"/>
    </fill>
    <fill>
      <patternFill patternType="solid">
        <fgColor rgb="FFFFF2CB"/>
        <bgColor indexed="64"/>
      </patternFill>
    </fill>
    <fill>
      <patternFill patternType="solid">
        <fgColor rgb="FFFFFFFF"/>
        <bgColor indexed="64"/>
      </patternFill>
    </fill>
    <fill>
      <patternFill patternType="solid">
        <fgColor rgb="FFD8D8D8"/>
        <bgColor indexed="64"/>
      </patternFill>
    </fill>
    <fill>
      <patternFill patternType="solid">
        <fgColor rgb="FFE2EFD9"/>
        <bgColor indexed="64"/>
      </patternFill>
    </fill>
    <fill>
      <patternFill patternType="solid">
        <fgColor rgb="FFFFE7EA"/>
        <bgColor indexed="64"/>
      </patternFill>
    </fill>
    <fill>
      <patternFill patternType="solid">
        <fgColor rgb="FFF2F2F2"/>
        <bgColor indexed="64"/>
      </patternFill>
    </fill>
    <fill>
      <patternFill patternType="solid">
        <fgColor rgb="FFFFFF00"/>
        <bgColor indexed="64"/>
      </patternFill>
    </fill>
    <fill>
      <patternFill patternType="solid">
        <fgColor rgb="FFFBFBFB"/>
        <bgColor indexed="64"/>
      </patternFill>
    </fill>
    <fill>
      <patternFill patternType="solid">
        <fgColor rgb="FFF2F2F2"/>
        <bgColor rgb="FFF2F2F2"/>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FBFBF"/>
      </left>
      <right style="thin">
        <color rgb="FFBFBFBF"/>
      </right>
      <top style="thin">
        <color rgb="FFBFBFBF"/>
      </top>
      <bottom style="thin">
        <color rgb="FFBFBFBF"/>
      </bottom>
      <diagonal/>
    </border>
    <border>
      <left/>
      <right style="medium">
        <color indexed="64"/>
      </right>
      <top style="thin">
        <color indexed="64"/>
      </top>
      <bottom style="thin">
        <color indexed="64"/>
      </bottom>
      <diagonal/>
    </border>
    <border>
      <left/>
      <right/>
      <top style="thin">
        <color indexed="64"/>
      </top>
      <bottom style="thin">
        <color rgb="FFBFBFBF"/>
      </bottom>
      <diagonal/>
    </border>
    <border>
      <left/>
      <right/>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medium">
        <color indexed="64"/>
      </top>
      <bottom/>
      <diagonal/>
    </border>
    <border>
      <left/>
      <right style="thin">
        <color rgb="FFBFBFBF"/>
      </right>
      <top style="medium">
        <color indexed="64"/>
      </top>
      <bottom/>
      <diagonal/>
    </border>
    <border>
      <left/>
      <right style="thin">
        <color indexed="64"/>
      </right>
      <top/>
      <bottom/>
      <diagonal/>
    </border>
    <border>
      <left/>
      <right style="thin">
        <color rgb="FFBFBFBF"/>
      </right>
      <top/>
      <bottom/>
      <diagonal/>
    </border>
    <border>
      <left style="double">
        <color indexed="64"/>
      </left>
      <right/>
      <top/>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bottom style="thick">
        <color rgb="FF4473C4"/>
      </bottom>
      <diagonal/>
    </border>
  </borders>
  <cellStyleXfs count="19">
    <xf numFmtId="0" fontId="0" fillId="0" borderId="0">
      <alignment vertical="center"/>
    </xf>
    <xf numFmtId="0" fontId="4" fillId="0" borderId="0">
      <protection locked="0"/>
    </xf>
    <xf numFmtId="0" fontId="31" fillId="2" borderId="4">
      <protection locked="0"/>
    </xf>
    <xf numFmtId="44" fontId="32" fillId="0" borderId="0">
      <alignment vertical="top"/>
      <protection locked="0"/>
    </xf>
    <xf numFmtId="44" fontId="4" fillId="0" borderId="0">
      <alignment vertical="top"/>
      <protection locked="0"/>
    </xf>
    <xf numFmtId="0" fontId="33" fillId="0" borderId="38">
      <alignment vertical="top"/>
      <protection locked="0"/>
    </xf>
    <xf numFmtId="0" fontId="34" fillId="7" borderId="10">
      <protection locked="0"/>
    </xf>
    <xf numFmtId="0" fontId="4" fillId="0" borderId="12">
      <protection locked="0"/>
    </xf>
    <xf numFmtId="0" fontId="31" fillId="5" borderId="6">
      <protection locked="0"/>
    </xf>
    <xf numFmtId="0" fontId="18" fillId="6" borderId="15">
      <protection locked="0"/>
    </xf>
    <xf numFmtId="0" fontId="19" fillId="0" borderId="0">
      <protection locked="0"/>
    </xf>
    <xf numFmtId="0" fontId="19" fillId="0" borderId="0">
      <protection locked="0"/>
    </xf>
    <xf numFmtId="0" fontId="4" fillId="0" borderId="0">
      <protection locked="0"/>
    </xf>
    <xf numFmtId="0" fontId="4" fillId="0" borderId="12">
      <protection locked="0"/>
    </xf>
    <xf numFmtId="44" fontId="24" fillId="0" borderId="0">
      <alignment vertical="top"/>
      <protection locked="0"/>
    </xf>
    <xf numFmtId="0" fontId="27" fillId="10" borderId="15">
      <protection locked="0"/>
    </xf>
    <xf numFmtId="0" fontId="32" fillId="0" borderId="0">
      <protection locked="0"/>
    </xf>
    <xf numFmtId="0" fontId="4" fillId="0" borderId="0">
      <protection locked="0"/>
    </xf>
    <xf numFmtId="0" fontId="32" fillId="0" borderId="0">
      <protection locked="0"/>
    </xf>
  </cellStyleXfs>
  <cellXfs count="187">
    <xf numFmtId="0" fontId="0" fillId="0" borderId="0" xfId="0">
      <alignment vertical="center"/>
    </xf>
    <xf numFmtId="0" fontId="2" fillId="0" borderId="0" xfId="0" applyFont="1" applyAlignment="1">
      <alignment horizontal="center" vertical="center"/>
    </xf>
    <xf numFmtId="0" fontId="3" fillId="0" borderId="0" xfId="0" applyFont="1" applyAlignment="1"/>
    <xf numFmtId="0" fontId="4" fillId="2" borderId="4" xfId="2" applyFont="1" applyAlignment="1" applyProtection="1"/>
    <xf numFmtId="0" fontId="2" fillId="0" borderId="6" xfId="1" applyFont="1" applyBorder="1" applyAlignment="1" applyProtection="1">
      <alignment horizontal="center" vertical="center"/>
    </xf>
    <xf numFmtId="0" fontId="2" fillId="0" borderId="6" xfId="0" applyFont="1" applyBorder="1" applyAlignment="1">
      <alignment horizontal="center" vertical="center"/>
    </xf>
    <xf numFmtId="0" fontId="2" fillId="0" borderId="6" xfId="1" applyFont="1" applyBorder="1" applyAlignment="1" applyProtection="1">
      <alignment horizontal="left" vertical="center"/>
    </xf>
    <xf numFmtId="44" fontId="2" fillId="0" borderId="6" xfId="3" applyFont="1" applyBorder="1" applyAlignment="1" applyProtection="1">
      <alignment horizontal="center" vertical="center"/>
    </xf>
    <xf numFmtId="44" fontId="2" fillId="3" borderId="6" xfId="3" applyFont="1" applyFill="1" applyBorder="1" applyAlignment="1" applyProtection="1">
      <alignment horizontal="center" vertical="center" wrapText="1"/>
    </xf>
    <xf numFmtId="44" fontId="2" fillId="5" borderId="6" xfId="3" applyFont="1" applyFill="1" applyBorder="1" applyAlignment="1" applyProtection="1">
      <alignment horizontal="center" vertical="center"/>
    </xf>
    <xf numFmtId="0" fontId="5" fillId="0" borderId="0" xfId="0" applyFont="1" applyAlignment="1"/>
    <xf numFmtId="0" fontId="6" fillId="0" borderId="0" xfId="0" applyFont="1" applyAlignment="1">
      <alignment horizontal="center" vertical="center"/>
    </xf>
    <xf numFmtId="0" fontId="3" fillId="0" borderId="0" xfId="0" applyFont="1" applyAlignment="1">
      <alignment vertical="center" wrapText="1"/>
    </xf>
    <xf numFmtId="0" fontId="6" fillId="0" borderId="0" xfId="0" applyFont="1" applyAlignment="1"/>
    <xf numFmtId="44" fontId="6" fillId="0" borderId="0" xfId="4" applyFont="1" applyAlignment="1" applyProtection="1">
      <alignment horizontal="center"/>
    </xf>
    <xf numFmtId="44" fontId="6" fillId="0" borderId="0" xfId="4" applyFont="1" applyAlignment="1" applyProtection="1"/>
    <xf numFmtId="0" fontId="7" fillId="0" borderId="6" xfId="0" applyFont="1" applyBorder="1" applyAlignment="1">
      <alignment horizontal="center" vertical="center"/>
    </xf>
    <xf numFmtId="0" fontId="8" fillId="0" borderId="6" xfId="1" applyFont="1" applyBorder="1" applyAlignment="1" applyProtection="1">
      <alignment horizontal="left" vertical="center"/>
    </xf>
    <xf numFmtId="0" fontId="9" fillId="6" borderId="6" xfId="5" applyFont="1" applyFill="1" applyBorder="1" applyAlignment="1" applyProtection="1"/>
    <xf numFmtId="0" fontId="9" fillId="6" borderId="6" xfId="5" applyFont="1" applyFill="1" applyBorder="1" applyAlignment="1" applyProtection="1"/>
    <xf numFmtId="44" fontId="9" fillId="6" borderId="6" xfId="4" applyFont="1" applyFill="1" applyBorder="1" applyAlignment="1" applyProtection="1">
      <alignment horizontal="center" vertical="center"/>
    </xf>
    <xf numFmtId="0" fontId="8" fillId="2" borderId="4" xfId="2" applyFont="1" applyAlignment="1" applyProtection="1"/>
    <xf numFmtId="0" fontId="10" fillId="2" borderId="4" xfId="2" applyFont="1" applyAlignment="1" applyProtection="1"/>
    <xf numFmtId="0" fontId="10" fillId="2" borderId="4" xfId="2" applyFont="1" applyAlignment="1" applyProtection="1">
      <alignment vertical="center" wrapText="1"/>
    </xf>
    <xf numFmtId="0" fontId="11" fillId="7" borderId="10" xfId="6" applyFont="1" applyAlignment="1" applyProtection="1">
      <alignment horizontal="justify"/>
    </xf>
    <xf numFmtId="49" fontId="10" fillId="0" borderId="12" xfId="7" applyNumberFormat="1" applyFont="1" applyAlignment="1" applyProtection="1">
      <alignment horizontal="center" vertical="center" wrapText="1"/>
    </xf>
    <xf numFmtId="0" fontId="10" fillId="0" borderId="12" xfId="7" applyFont="1" applyAlignment="1" applyProtection="1">
      <alignment vertical="center" wrapText="1"/>
    </xf>
    <xf numFmtId="0" fontId="10" fillId="0" borderId="12" xfId="7" applyFont="1" applyAlignment="1" applyProtection="1">
      <alignment horizontal="center" vertical="center" wrapText="1"/>
    </xf>
    <xf numFmtId="44" fontId="10" fillId="0" borderId="12" xfId="4" applyFont="1" applyBorder="1" applyAlignment="1" applyProtection="1">
      <alignment horizontal="center" vertical="center" wrapText="1"/>
    </xf>
    <xf numFmtId="0" fontId="6" fillId="0" borderId="0" xfId="0" applyFont="1" applyAlignment="1">
      <alignment horizontal="center"/>
    </xf>
    <xf numFmtId="44" fontId="9" fillId="8" borderId="10" xfId="4" applyFont="1" applyFill="1" applyBorder="1" applyAlignment="1" applyProtection="1">
      <alignment horizontal="center" vertical="center" wrapText="1"/>
    </xf>
    <xf numFmtId="0" fontId="6" fillId="0" borderId="0" xfId="0" applyFont="1" applyFill="1" applyAlignment="1"/>
    <xf numFmtId="44" fontId="9" fillId="7" borderId="10" xfId="4" applyFont="1" applyFill="1" applyBorder="1" applyAlignment="1" applyProtection="1">
      <alignment horizontal="center" vertical="center" wrapText="1"/>
    </xf>
    <xf numFmtId="0" fontId="10" fillId="2" borderId="4" xfId="2" applyFont="1" applyAlignment="1" applyProtection="1"/>
    <xf numFmtId="0" fontId="10" fillId="6" borderId="15" xfId="9" applyFont="1" applyAlignment="1" applyProtection="1"/>
    <xf numFmtId="0" fontId="10" fillId="6" borderId="15" xfId="9" applyFont="1" applyAlignment="1" applyProtection="1">
      <alignment vertical="center" wrapText="1"/>
    </xf>
    <xf numFmtId="44" fontId="10" fillId="6" borderId="15" xfId="4" applyFont="1" applyFill="1" applyBorder="1" applyAlignment="1" applyProtection="1"/>
    <xf numFmtId="0" fontId="3" fillId="0" borderId="16" xfId="0" applyFont="1" applyBorder="1" applyAlignment="1">
      <alignment horizontal="center" vertical="center"/>
    </xf>
    <xf numFmtId="49" fontId="3" fillId="0" borderId="16" xfId="0" applyNumberFormat="1" applyFont="1" applyBorder="1" applyAlignment="1">
      <alignment horizontal="center" vertical="center"/>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44" fontId="10" fillId="0" borderId="12" xfId="4" applyFont="1" applyBorder="1" applyAlignment="1" applyProtection="1">
      <alignment horizontal="center"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4" fillId="0" borderId="6" xfId="0" applyFont="1" applyBorder="1" applyAlignment="1">
      <alignment vertical="center" wrapText="1"/>
    </xf>
    <xf numFmtId="0" fontId="15" fillId="0" borderId="12" xfId="7" applyFont="1" applyAlignment="1" applyProtection="1">
      <alignment vertical="center" wrapText="1"/>
    </xf>
    <xf numFmtId="0" fontId="10" fillId="0" borderId="6" xfId="8" applyFont="1" applyFill="1" applyAlignment="1" applyProtection="1">
      <alignment horizontal="right"/>
    </xf>
    <xf numFmtId="44" fontId="9" fillId="0" borderId="0" xfId="4" applyFont="1" applyFill="1" applyBorder="1" applyAlignment="1" applyProtection="1">
      <alignment horizontal="center" vertical="center" wrapText="1"/>
    </xf>
    <xf numFmtId="0" fontId="8" fillId="2" borderId="4" xfId="2" applyFont="1" applyAlignment="1" applyProtection="1"/>
    <xf numFmtId="0" fontId="3" fillId="7" borderId="0" xfId="0" applyFont="1" applyFill="1" applyBorder="1" applyAlignment="1">
      <alignment horizontal="center" vertical="center"/>
    </xf>
    <xf numFmtId="0" fontId="3" fillId="0" borderId="0" xfId="0" applyFont="1" applyBorder="1" applyAlignment="1">
      <alignment horizontal="center" vertical="center"/>
    </xf>
    <xf numFmtId="0" fontId="16" fillId="0" borderId="21" xfId="0" applyFont="1" applyBorder="1" applyAlignment="1">
      <alignment horizontal="justify"/>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0" fontId="18" fillId="6" borderId="15" xfId="9" applyFont="1" applyAlignment="1" applyProtection="1"/>
    <xf numFmtId="0" fontId="19" fillId="0" borderId="21" xfId="0" applyFont="1" applyBorder="1" applyAlignment="1">
      <alignment horizontal="justify"/>
    </xf>
    <xf numFmtId="0" fontId="9" fillId="9" borderId="12" xfId="7" applyFont="1" applyFill="1" applyAlignment="1" applyProtection="1">
      <alignment vertical="center" wrapText="1"/>
    </xf>
    <xf numFmtId="0" fontId="10" fillId="9" borderId="12" xfId="7" applyFont="1" applyFill="1" applyAlignment="1" applyProtection="1">
      <alignment horizontal="center" vertical="center" wrapText="1"/>
    </xf>
    <xf numFmtId="44" fontId="10" fillId="9" borderId="12" xfId="4" applyFont="1" applyFill="1" applyBorder="1" applyAlignment="1" applyProtection="1">
      <alignment horizontal="center" vertical="center" wrapText="1"/>
    </xf>
    <xf numFmtId="44" fontId="10" fillId="0" borderId="0" xfId="4" applyFont="1" applyBorder="1" applyAlignment="1" applyProtection="1">
      <alignment horizontal="center" vertical="center" wrapText="1"/>
    </xf>
    <xf numFmtId="0" fontId="19" fillId="0" borderId="21" xfId="10" applyFont="1" applyBorder="1" applyAlignment="1">
      <alignment vertical="center"/>
      <protection locked="0"/>
    </xf>
    <xf numFmtId="0" fontId="21" fillId="0" borderId="21" xfId="10" applyFont="1" applyBorder="1" applyAlignment="1">
      <alignment vertical="center"/>
      <protection locked="0"/>
    </xf>
    <xf numFmtId="0" fontId="22" fillId="0" borderId="21" xfId="10" applyFont="1" applyBorder="1" applyAlignment="1">
      <alignment vertical="center"/>
      <protection locked="0"/>
    </xf>
    <xf numFmtId="0" fontId="19" fillId="0" borderId="21" xfId="10" applyFont="1" applyBorder="1" applyAlignment="1">
      <alignment vertical="center" wrapText="1"/>
      <protection locked="0"/>
    </xf>
    <xf numFmtId="0" fontId="4" fillId="0" borderId="0" xfId="12" applyAlignment="1" applyProtection="1"/>
    <xf numFmtId="0" fontId="10" fillId="9" borderId="12" xfId="7" applyFont="1" applyFill="1" applyAlignment="1" applyProtection="1">
      <alignment vertical="center" wrapText="1"/>
    </xf>
    <xf numFmtId="0" fontId="24" fillId="0" borderId="0" xfId="0" applyFont="1" applyAlignment="1"/>
    <xf numFmtId="0" fontId="2" fillId="0" borderId="6" xfId="13" applyFont="1" applyBorder="1" applyAlignment="1" applyProtection="1">
      <alignment vertical="center" wrapText="1"/>
    </xf>
    <xf numFmtId="0" fontId="2" fillId="0" borderId="6" xfId="13" applyFont="1" applyBorder="1" applyAlignment="1" applyProtection="1">
      <alignment horizontal="center" vertical="center" wrapText="1"/>
    </xf>
    <xf numFmtId="44" fontId="25" fillId="0" borderId="6" xfId="14" applyFont="1" applyFill="1" applyBorder="1" applyAlignment="1" applyProtection="1">
      <alignment vertical="center"/>
    </xf>
    <xf numFmtId="8" fontId="26" fillId="0" borderId="6" xfId="14" applyNumberFormat="1" applyFont="1" applyFill="1" applyBorder="1" applyAlignment="1" applyProtection="1">
      <alignment horizontal="center" vertical="center" wrapText="1"/>
    </xf>
    <xf numFmtId="44" fontId="9" fillId="7" borderId="10" xfId="4" applyFont="1" applyFill="1" applyBorder="1" applyAlignment="1" applyProtection="1"/>
    <xf numFmtId="0" fontId="24" fillId="10" borderId="0" xfId="15" applyFont="1" applyBorder="1" applyAlignment="1" applyProtection="1">
      <alignment vertical="center"/>
    </xf>
    <xf numFmtId="0" fontId="27" fillId="10" borderId="0" xfId="15" applyFont="1" applyBorder="1" applyAlignment="1" applyProtection="1">
      <alignment horizontal="center" vertical="center"/>
    </xf>
    <xf numFmtId="0" fontId="27" fillId="10" borderId="0" xfId="15" applyFont="1" applyBorder="1" applyAlignment="1" applyProtection="1">
      <alignment vertical="center"/>
    </xf>
    <xf numFmtId="44" fontId="6" fillId="0" borderId="30" xfId="4" applyFont="1" applyBorder="1" applyAlignment="1" applyProtection="1">
      <alignment horizontal="center" vertical="center"/>
    </xf>
    <xf numFmtId="44" fontId="19" fillId="0" borderId="5" xfId="4" applyFont="1" applyBorder="1" applyAlignment="1" applyProtection="1">
      <alignment horizontal="left" vertical="center"/>
    </xf>
    <xf numFmtId="44" fontId="6" fillId="0" borderId="31" xfId="4" applyFont="1" applyBorder="1" applyAlignment="1" applyProtection="1"/>
    <xf numFmtId="44" fontId="6" fillId="0" borderId="32" xfId="4" applyFont="1" applyBorder="1" applyAlignment="1" applyProtection="1">
      <alignment horizontal="center" vertical="center"/>
    </xf>
    <xf numFmtId="44" fontId="19" fillId="0" borderId="0" xfId="4" applyFont="1" applyBorder="1" applyAlignment="1" applyProtection="1">
      <alignment horizontal="left" vertical="center"/>
    </xf>
    <xf numFmtId="44" fontId="6" fillId="0" borderId="33" xfId="4" applyFont="1" applyBorder="1" applyAlignment="1" applyProtection="1"/>
    <xf numFmtId="44" fontId="6" fillId="8" borderId="34" xfId="0" applyNumberFormat="1" applyFont="1" applyFill="1" applyBorder="1" applyAlignment="1"/>
    <xf numFmtId="0" fontId="28" fillId="5" borderId="16" xfId="16" applyFont="1" applyFill="1" applyBorder="1" applyAlignment="1" applyProtection="1">
      <alignment horizontal="center" vertical="top" wrapText="1"/>
    </xf>
    <xf numFmtId="0" fontId="28" fillId="5" borderId="6" xfId="16" applyFont="1" applyFill="1" applyBorder="1" applyAlignment="1" applyProtection="1">
      <alignment horizontal="left" vertical="top" wrapText="1"/>
    </xf>
    <xf numFmtId="0" fontId="10" fillId="3" borderId="6" xfId="16" applyFont="1" applyFill="1" applyBorder="1" applyAlignment="1" applyProtection="1">
      <alignment horizontal="center" vertical="top" wrapText="1"/>
    </xf>
    <xf numFmtId="0" fontId="3" fillId="0" borderId="6" xfId="16" applyFont="1" applyBorder="1" applyAlignment="1" applyProtection="1">
      <alignment horizontal="center" vertical="top" wrapText="1"/>
    </xf>
    <xf numFmtId="164" fontId="10" fillId="3" borderId="6" xfId="16" applyNumberFormat="1" applyFont="1" applyFill="1" applyBorder="1" applyAlignment="1" applyProtection="1">
      <alignment horizontal="center" vertical="top" wrapText="1"/>
    </xf>
    <xf numFmtId="164" fontId="29" fillId="0" borderId="35" xfId="16" applyNumberFormat="1" applyFont="1" applyBorder="1" applyAlignment="1" applyProtection="1">
      <alignment horizontal="center" vertical="top" wrapText="1"/>
    </xf>
    <xf numFmtId="0" fontId="10" fillId="2" borderId="4" xfId="2" applyFont="1" applyAlignment="1" applyProtection="1"/>
    <xf numFmtId="164" fontId="9" fillId="8" borderId="10" xfId="4" applyNumberFormat="1" applyFont="1" applyFill="1" applyBorder="1" applyAlignment="1" applyProtection="1">
      <alignment horizontal="center" vertical="center" wrapText="1"/>
    </xf>
    <xf numFmtId="0" fontId="10" fillId="0" borderId="16" xfId="17" applyFont="1" applyBorder="1" applyAlignment="1" applyProtection="1">
      <alignment horizontal="center" vertical="top"/>
    </xf>
    <xf numFmtId="0" fontId="3" fillId="0" borderId="6" xfId="16" applyFont="1" applyBorder="1" applyAlignment="1" applyProtection="1">
      <alignment horizontal="left" vertical="top" wrapText="1"/>
    </xf>
    <xf numFmtId="164" fontId="3" fillId="0" borderId="35" xfId="16" applyNumberFormat="1" applyFont="1" applyBorder="1" applyAlignment="1" applyProtection="1">
      <alignment horizontal="center" vertical="top"/>
    </xf>
    <xf numFmtId="0" fontId="3" fillId="0" borderId="6" xfId="0" applyFont="1" applyBorder="1" applyAlignment="1">
      <alignment horizontal="center" vertical="center"/>
    </xf>
    <xf numFmtId="165" fontId="3" fillId="0" borderId="6" xfId="0" applyNumberFormat="1" applyFont="1" applyBorder="1" applyAlignment="1" applyProtection="1">
      <alignment horizontal="center" vertical="center"/>
      <protection locked="0"/>
    </xf>
    <xf numFmtId="44" fontId="3" fillId="0" borderId="35" xfId="4" applyFont="1" applyBorder="1" applyAlignment="1" applyProtection="1">
      <alignment horizontal="center" vertical="center"/>
    </xf>
    <xf numFmtId="44" fontId="3" fillId="0" borderId="0" xfId="4" applyFont="1" applyAlignment="1" applyProtection="1"/>
    <xf numFmtId="0" fontId="10" fillId="0" borderId="0" xfId="0" applyFont="1" applyBorder="1" applyAlignment="1">
      <alignment horizontal="center" vertical="center" wrapText="1"/>
    </xf>
    <xf numFmtId="0" fontId="3" fillId="0" borderId="0" xfId="0" applyFont="1" applyFill="1" applyAlignment="1"/>
    <xf numFmtId="164" fontId="28" fillId="0" borderId="35" xfId="16" applyNumberFormat="1" applyFont="1" applyFill="1" applyBorder="1" applyAlignment="1" applyProtection="1">
      <alignment horizontal="center" vertical="top"/>
    </xf>
    <xf numFmtId="0" fontId="3" fillId="0" borderId="0" xfId="0" applyFont="1">
      <alignment vertical="center"/>
    </xf>
    <xf numFmtId="0" fontId="3" fillId="0" borderId="6" xfId="18" applyFont="1" applyBorder="1" applyAlignment="1" applyProtection="1">
      <alignment horizontal="center" vertical="center"/>
    </xf>
    <xf numFmtId="0" fontId="3" fillId="0" borderId="6" xfId="18" applyFont="1" applyBorder="1" applyAlignment="1" applyProtection="1">
      <alignment vertical="center"/>
    </xf>
    <xf numFmtId="166" fontId="10" fillId="0" borderId="35" xfId="18" applyNumberFormat="1" applyFont="1" applyBorder="1" applyAlignment="1" applyProtection="1">
      <alignment vertical="center" wrapText="1"/>
    </xf>
    <xf numFmtId="0" fontId="10" fillId="0" borderId="6" xfId="18" applyFont="1" applyBorder="1" applyAlignment="1" applyProtection="1">
      <alignment vertical="center" wrapText="1"/>
    </xf>
    <xf numFmtId="0" fontId="3" fillId="7" borderId="0" xfId="0" applyFont="1" applyFill="1">
      <alignment vertical="center"/>
    </xf>
    <xf numFmtId="0" fontId="29" fillId="7" borderId="6" xfId="1" applyFont="1" applyFill="1" applyBorder="1" applyAlignment="1" applyProtection="1">
      <alignment horizontal="left" vertical="center" wrapText="1"/>
    </xf>
    <xf numFmtId="0" fontId="3" fillId="7" borderId="6" xfId="18" applyFont="1" applyFill="1" applyBorder="1" applyAlignment="1" applyProtection="1">
      <alignment horizontal="center" vertical="center"/>
    </xf>
    <xf numFmtId="0" fontId="3" fillId="7" borderId="6" xfId="18" applyFont="1" applyFill="1" applyBorder="1" applyAlignment="1" applyProtection="1">
      <alignment vertical="center"/>
    </xf>
    <xf numFmtId="166" fontId="10" fillId="7" borderId="35" xfId="18" applyNumberFormat="1" applyFont="1" applyFill="1" applyBorder="1" applyAlignment="1" applyProtection="1">
      <alignment vertical="center" wrapText="1"/>
    </xf>
    <xf numFmtId="44" fontId="28" fillId="0" borderId="0" xfId="0" applyNumberFormat="1" applyFont="1" applyAlignment="1"/>
    <xf numFmtId="0" fontId="1" fillId="0" borderId="1" xfId="1" applyFont="1" applyBorder="1" applyAlignment="1" applyProtection="1">
      <alignment horizontal="center" vertical="center"/>
    </xf>
    <xf numFmtId="0" fontId="1" fillId="0" borderId="2" xfId="1" applyFont="1" applyBorder="1" applyAlignment="1" applyProtection="1">
      <alignment horizontal="center" vertical="center"/>
    </xf>
    <xf numFmtId="0" fontId="1" fillId="0" borderId="3" xfId="1" applyFont="1" applyBorder="1" applyAlignment="1" applyProtection="1">
      <alignment horizontal="center" vertical="center"/>
    </xf>
    <xf numFmtId="0" fontId="1" fillId="0" borderId="4" xfId="1" applyFont="1" applyBorder="1" applyAlignment="1" applyProtection="1">
      <alignment horizontal="center" vertical="center"/>
    </xf>
    <xf numFmtId="0" fontId="1" fillId="0" borderId="5" xfId="1" applyFont="1" applyBorder="1" applyAlignment="1" applyProtection="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10" fillId="5" borderId="6" xfId="8" applyFont="1" applyAlignment="1" applyProtection="1">
      <alignment horizontal="right"/>
    </xf>
    <xf numFmtId="0" fontId="12" fillId="0" borderId="23" xfId="0" applyFont="1" applyBorder="1" applyAlignment="1">
      <alignment horizontal="left" vertical="top" wrapText="1"/>
    </xf>
    <xf numFmtId="0" fontId="12" fillId="0" borderId="0" xfId="0" applyFont="1" applyBorder="1" applyAlignment="1">
      <alignment horizontal="left" vertical="top" wrapText="1"/>
    </xf>
    <xf numFmtId="0" fontId="12" fillId="0" borderId="22" xfId="0" applyFont="1" applyBorder="1" applyAlignment="1">
      <alignment horizontal="left" vertical="top" wrapText="1"/>
    </xf>
    <xf numFmtId="0" fontId="12" fillId="0" borderId="19"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23" fillId="7" borderId="14" xfId="8" applyFont="1" applyFill="1" applyBorder="1" applyAlignment="1" applyProtection="1">
      <alignment horizontal="center" vertical="center"/>
    </xf>
    <xf numFmtId="0" fontId="11" fillId="9" borderId="19" xfId="0" applyFont="1" applyFill="1" applyBorder="1" applyAlignment="1">
      <alignment horizontal="left" vertical="top" wrapText="1"/>
    </xf>
    <xf numFmtId="0" fontId="11" fillId="9" borderId="5" xfId="0" applyFont="1" applyFill="1" applyBorder="1" applyAlignment="1">
      <alignment horizontal="left" vertical="top" wrapText="1"/>
    </xf>
    <xf numFmtId="0" fontId="11" fillId="9" borderId="20" xfId="0" applyFont="1" applyFill="1" applyBorder="1" applyAlignment="1">
      <alignment horizontal="left" vertical="top" wrapText="1"/>
    </xf>
    <xf numFmtId="0" fontId="11" fillId="7" borderId="1" xfId="6" applyFont="1" applyBorder="1" applyAlignment="1" applyProtection="1">
      <alignment horizontal="left" wrapText="1"/>
    </xf>
    <xf numFmtId="0" fontId="11" fillId="7" borderId="2" xfId="6" applyFont="1" applyBorder="1" applyAlignment="1" applyProtection="1">
      <alignment horizontal="left" wrapText="1"/>
    </xf>
    <xf numFmtId="0" fontId="11" fillId="7" borderId="11" xfId="6" applyFont="1" applyBorder="1" applyAlignment="1" applyProtection="1">
      <alignment horizontal="left" wrapText="1"/>
    </xf>
    <xf numFmtId="0" fontId="10" fillId="5" borderId="7" xfId="8" applyFont="1" applyBorder="1" applyAlignment="1" applyProtection="1">
      <alignment horizontal="right"/>
    </xf>
    <xf numFmtId="0" fontId="10" fillId="5" borderId="8" xfId="8" applyFont="1" applyBorder="1" applyAlignment="1" applyProtection="1">
      <alignment horizontal="right"/>
    </xf>
    <xf numFmtId="0" fontId="10" fillId="5" borderId="13" xfId="8" applyFont="1" applyBorder="1" applyAlignment="1" applyProtection="1">
      <alignment horizontal="right"/>
    </xf>
    <xf numFmtId="0" fontId="8" fillId="2" borderId="4" xfId="2" applyFont="1" applyAlignment="1" applyProtection="1"/>
    <xf numFmtId="0" fontId="10" fillId="5" borderId="7" xfId="8" applyFont="1" applyBorder="1" applyAlignment="1" applyProtection="1">
      <alignment horizontal="right" vertical="center"/>
    </xf>
    <xf numFmtId="0" fontId="10" fillId="5" borderId="8" xfId="8" applyFont="1" applyBorder="1" applyAlignment="1" applyProtection="1">
      <alignment horizontal="right" vertical="center"/>
    </xf>
    <xf numFmtId="0" fontId="10" fillId="5" borderId="13" xfId="8" applyFont="1" applyBorder="1" applyAlignment="1" applyProtection="1">
      <alignment horizontal="right" vertical="center"/>
    </xf>
    <xf numFmtId="0" fontId="11" fillId="7" borderId="1" xfId="6" applyFont="1" applyBorder="1" applyAlignment="1" applyProtection="1">
      <alignment horizontal="left"/>
    </xf>
    <xf numFmtId="0" fontId="11" fillId="7" borderId="2" xfId="6" applyFont="1" applyBorder="1" applyAlignment="1" applyProtection="1">
      <alignment horizontal="left"/>
    </xf>
    <xf numFmtId="0" fontId="11" fillId="7" borderId="11" xfId="6" applyFont="1" applyBorder="1" applyAlignment="1" applyProtection="1">
      <alignment horizontal="left"/>
    </xf>
    <xf numFmtId="0" fontId="17" fillId="0" borderId="0" xfId="0" applyFont="1" applyBorder="1" applyAlignment="1">
      <alignment horizontal="left"/>
    </xf>
    <xf numFmtId="0" fontId="17" fillId="0" borderId="22" xfId="0" applyFont="1" applyBorder="1" applyAlignment="1">
      <alignment horizontal="left"/>
    </xf>
    <xf numFmtId="0" fontId="10" fillId="2" borderId="4" xfId="2" applyFont="1" applyAlignment="1" applyProtection="1"/>
    <xf numFmtId="0" fontId="10" fillId="7" borderId="28" xfId="0" applyFont="1" applyFill="1" applyBorder="1" applyAlignment="1">
      <alignment horizontal="center" vertical="center" wrapText="1"/>
    </xf>
    <xf numFmtId="0" fontId="10" fillId="7" borderId="29" xfId="0" applyFont="1" applyFill="1" applyBorder="1" applyAlignment="1">
      <alignment horizontal="center" vertical="center" wrapText="1"/>
    </xf>
    <xf numFmtId="0" fontId="10" fillId="9" borderId="27" xfId="7" applyFont="1" applyFill="1" applyBorder="1" applyAlignment="1" applyProtection="1">
      <alignment horizontal="left" vertical="top" wrapText="1"/>
    </xf>
    <xf numFmtId="0" fontId="10" fillId="9" borderId="25" xfId="7" applyFont="1" applyFill="1" applyBorder="1" applyAlignment="1" applyProtection="1">
      <alignment horizontal="left" vertical="top" wrapText="1"/>
    </xf>
    <xf numFmtId="0" fontId="10" fillId="9" borderId="26" xfId="7" applyFont="1" applyFill="1" applyBorder="1" applyAlignment="1" applyProtection="1">
      <alignment horizontal="left" vertical="top"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8" fillId="7" borderId="14" xfId="8" applyFont="1" applyFill="1" applyBorder="1" applyAlignment="1" applyProtection="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0" fillId="9" borderId="27" xfId="7" applyFont="1" applyFill="1" applyBorder="1" applyAlignment="1" applyProtection="1">
      <alignment horizontal="left" vertical="center" wrapText="1"/>
    </xf>
    <xf numFmtId="0" fontId="10" fillId="9" borderId="25" xfId="7" applyFont="1" applyFill="1" applyBorder="1" applyAlignment="1" applyProtection="1">
      <alignment horizontal="left" vertical="center" wrapText="1"/>
    </xf>
    <xf numFmtId="0" fontId="10" fillId="9" borderId="26" xfId="7" applyFont="1" applyFill="1" applyBorder="1" applyAlignment="1" applyProtection="1">
      <alignment horizontal="left" vertical="center" wrapText="1"/>
    </xf>
    <xf numFmtId="0" fontId="17" fillId="7" borderId="0" xfId="0" applyFont="1" applyFill="1" applyBorder="1" applyAlignment="1">
      <alignment horizontal="left"/>
    </xf>
    <xf numFmtId="0" fontId="17" fillId="7" borderId="22" xfId="0" applyFont="1" applyFill="1" applyBorder="1" applyAlignment="1">
      <alignment horizontal="left"/>
    </xf>
    <xf numFmtId="0" fontId="12" fillId="0" borderId="19"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20" xfId="0" applyFont="1" applyFill="1" applyBorder="1" applyAlignment="1">
      <alignment horizontal="left" vertical="top" wrapText="1"/>
    </xf>
    <xf numFmtId="0" fontId="20" fillId="0" borderId="24" xfId="11" applyFont="1" applyBorder="1" applyAlignment="1">
      <alignment horizontal="left" vertical="top" wrapText="1"/>
      <protection locked="0"/>
    </xf>
    <xf numFmtId="0" fontId="20" fillId="0" borderId="25" xfId="11" applyFont="1" applyBorder="1" applyAlignment="1">
      <alignment horizontal="left" vertical="top" wrapText="1"/>
      <protection locked="0"/>
    </xf>
    <xf numFmtId="0" fontId="20" fillId="0" borderId="26" xfId="11" applyFont="1" applyBorder="1" applyAlignment="1">
      <alignment horizontal="left" vertical="top" wrapText="1"/>
      <protection locked="0"/>
    </xf>
    <xf numFmtId="0" fontId="14" fillId="9" borderId="24"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20" xfId="0" applyFont="1" applyFill="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0" fontId="10" fillId="0" borderId="37" xfId="17" applyFont="1" applyFill="1" applyBorder="1" applyAlignment="1" applyProtection="1">
      <alignment horizontal="center" vertical="top"/>
    </xf>
    <xf numFmtId="0" fontId="10" fillId="0" borderId="8" xfId="17" applyFont="1" applyFill="1" applyBorder="1" applyAlignment="1" applyProtection="1">
      <alignment horizontal="center" vertical="top"/>
    </xf>
    <xf numFmtId="0" fontId="10" fillId="0" borderId="9" xfId="17" applyFont="1" applyFill="1" applyBorder="1" applyAlignment="1" applyProtection="1">
      <alignment horizontal="center" vertical="top"/>
    </xf>
    <xf numFmtId="0" fontId="30" fillId="0" borderId="7" xfId="18" applyFont="1" applyBorder="1" applyAlignment="1" applyProtection="1">
      <alignment horizontal="left" vertical="top" wrapText="1"/>
    </xf>
    <xf numFmtId="0" fontId="30" fillId="0" borderId="8" xfId="18" applyFont="1" applyBorder="1" applyAlignment="1" applyProtection="1">
      <alignment horizontal="left" vertical="top" wrapText="1"/>
    </xf>
    <xf numFmtId="0" fontId="30" fillId="0" borderId="13" xfId="18" applyFont="1" applyBorder="1" applyAlignment="1" applyProtection="1">
      <alignment horizontal="left" vertical="top" wrapText="1"/>
    </xf>
    <xf numFmtId="0" fontId="3" fillId="0" borderId="7" xfId="16" applyFont="1" applyBorder="1" applyAlignment="1" applyProtection="1">
      <alignment horizontal="left" vertical="top" wrapText="1"/>
    </xf>
    <xf numFmtId="0" fontId="3" fillId="0" borderId="8" xfId="16" applyFont="1" applyBorder="1" applyAlignment="1" applyProtection="1">
      <alignment horizontal="left" vertical="top" wrapText="1"/>
    </xf>
    <xf numFmtId="0" fontId="3" fillId="0" borderId="13" xfId="16" applyFont="1" applyBorder="1" applyAlignment="1" applyProtection="1">
      <alignment horizontal="left" vertical="top" wrapText="1"/>
    </xf>
  </cellXfs>
  <cellStyles count="19">
    <cellStyle name="Currency" xfId="14" builtinId="4"/>
    <cellStyle name="Currency 2" xfId="4"/>
    <cellStyle name="Currency 3 2 2" xfId="3"/>
    <cellStyle name="H1" xfId="9"/>
    <cellStyle name="H2" xfId="15"/>
    <cellStyle name="H3" xfId="2"/>
    <cellStyle name="H4" xfId="8"/>
    <cellStyle name="H5" xfId="7"/>
    <cellStyle name="H5 2" xfId="13"/>
    <cellStyle name="Heading 1" xfId="5"/>
    <cellStyle name="Normal" xfId="0" builtinId="0"/>
    <cellStyle name="Normal 12 2 4" xfId="12"/>
    <cellStyle name="Normal 2 10 2 2" xfId="6"/>
    <cellStyle name="Normal 2 2" xfId="1"/>
    <cellStyle name="Normal 2 4" xfId="17"/>
    <cellStyle name="Normal 3" xfId="18"/>
    <cellStyle name="Normal 6" xfId="16"/>
    <cellStyle name="Normal 6 3 6" xfId="11"/>
    <cellStyle name="Normal 6 5 6" xfId="10"/>
  </cellStyles>
  <dxfs count="18">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0/cellImage" Target="NUL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zoomScale="140" workbookViewId="0">
      <selection activeCell="D6" sqref="D6"/>
    </sheetView>
  </sheetViews>
  <sheetFormatPr defaultColWidth="10" defaultRowHeight="15.5" x14ac:dyDescent="0.35"/>
  <cols>
    <col min="1" max="1" width="5.08203125" customWidth="1"/>
    <col min="2" max="2" width="13.5" customWidth="1"/>
    <col min="3" max="3" width="49.4140625" customWidth="1"/>
    <col min="4" max="4" width="14" customWidth="1"/>
  </cols>
  <sheetData>
    <row r="1" spans="1:4" ht="17.5" x14ac:dyDescent="0.35">
      <c r="A1" s="111" t="s">
        <v>259</v>
      </c>
      <c r="B1" s="112"/>
      <c r="C1" s="112"/>
      <c r="D1" s="112"/>
    </row>
    <row r="2" spans="1:4" ht="17.5" x14ac:dyDescent="0.35">
      <c r="A2" s="113" t="s">
        <v>258</v>
      </c>
      <c r="B2" s="114"/>
      <c r="C2" s="114"/>
      <c r="D2" s="114"/>
    </row>
    <row r="3" spans="1:4" ht="17.5" x14ac:dyDescent="0.35">
      <c r="A3" s="115" t="s">
        <v>260</v>
      </c>
      <c r="B3" s="115"/>
      <c r="C3" s="115"/>
      <c r="D3" s="115"/>
    </row>
    <row r="4" spans="1:4" x14ac:dyDescent="0.35">
      <c r="A4" s="1"/>
      <c r="B4" s="1"/>
      <c r="C4" s="1"/>
      <c r="D4" s="1"/>
    </row>
    <row r="5" spans="1:4" s="2" customFormat="1" ht="24" customHeight="1" x14ac:dyDescent="0.3">
      <c r="A5" s="3" t="s">
        <v>73</v>
      </c>
      <c r="B5" s="3" t="s">
        <v>191</v>
      </c>
      <c r="C5" s="3" t="s">
        <v>197</v>
      </c>
      <c r="D5" s="3" t="s">
        <v>192</v>
      </c>
    </row>
    <row r="6" spans="1:4" s="2" customFormat="1" ht="13" x14ac:dyDescent="0.3">
      <c r="A6" s="4">
        <v>1</v>
      </c>
      <c r="B6" s="5" t="s">
        <v>193</v>
      </c>
      <c r="C6" s="6" t="s">
        <v>194</v>
      </c>
      <c r="D6" s="7">
        <f>'MAIN BLOCK'!C209</f>
        <v>0</v>
      </c>
    </row>
    <row r="7" spans="1:4" s="2" customFormat="1" ht="13" x14ac:dyDescent="0.3">
      <c r="A7" s="4">
        <v>2</v>
      </c>
      <c r="B7" s="5" t="s">
        <v>195</v>
      </c>
      <c r="C7" s="6" t="s">
        <v>290</v>
      </c>
      <c r="D7" s="8">
        <f>'MAIN GATES'!G47</f>
        <v>0</v>
      </c>
    </row>
    <row r="8" spans="1:4" s="2" customFormat="1" ht="13" x14ac:dyDescent="0.3">
      <c r="A8" s="116" t="s">
        <v>196</v>
      </c>
      <c r="B8" s="117"/>
      <c r="C8" s="118"/>
      <c r="D8" s="9">
        <f>SUM(D6:D7)</f>
        <v>0</v>
      </c>
    </row>
    <row r="9" spans="1:4" x14ac:dyDescent="0.35">
      <c r="A9" s="10"/>
      <c r="B9" s="10"/>
      <c r="C9" s="10"/>
      <c r="D9" s="10"/>
    </row>
  </sheetData>
  <mergeCells count="4">
    <mergeCell ref="A1:D1"/>
    <mergeCell ref="A2:D2"/>
    <mergeCell ref="A3:D3"/>
    <mergeCell ref="A8: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9"/>
  <sheetViews>
    <sheetView showGridLines="0" zoomScale="80" zoomScaleNormal="80" workbookViewId="0">
      <selection activeCell="F212" sqref="F212"/>
    </sheetView>
  </sheetViews>
  <sheetFormatPr defaultColWidth="30.83203125" defaultRowHeight="14.5" x14ac:dyDescent="0.35"/>
  <cols>
    <col min="1" max="1" width="21.33203125" style="11" customWidth="1"/>
    <col min="2" max="2" width="45.6640625" style="12" customWidth="1"/>
    <col min="3" max="3" width="12.9140625" style="13" customWidth="1"/>
    <col min="4" max="4" width="16.83203125" style="11" customWidth="1"/>
    <col min="5" max="5" width="16.08203125" style="13" customWidth="1"/>
    <col min="6" max="6" width="13" style="14" customWidth="1"/>
    <col min="7" max="7" width="18.58203125" style="15" customWidth="1"/>
    <col min="8" max="16384" width="30.83203125" style="13"/>
  </cols>
  <sheetData>
    <row r="1" spans="1:7" ht="15.5" x14ac:dyDescent="0.35">
      <c r="A1" s="16" t="s">
        <v>193</v>
      </c>
      <c r="B1" s="17" t="s">
        <v>194</v>
      </c>
    </row>
    <row r="2" spans="1:7" x14ac:dyDescent="0.35">
      <c r="A2" s="18" t="s">
        <v>0</v>
      </c>
      <c r="B2" s="19" t="s">
        <v>1</v>
      </c>
      <c r="C2" s="18" t="s">
        <v>2</v>
      </c>
      <c r="D2" s="18" t="s">
        <v>3</v>
      </c>
      <c r="E2" s="18" t="s">
        <v>4</v>
      </c>
      <c r="F2" s="20" t="s">
        <v>5</v>
      </c>
      <c r="G2" s="20" t="s">
        <v>6</v>
      </c>
    </row>
    <row r="3" spans="1:7" ht="15.5" x14ac:dyDescent="0.35">
      <c r="A3" s="21" t="s">
        <v>221</v>
      </c>
      <c r="B3" s="136" t="s">
        <v>161</v>
      </c>
      <c r="C3" s="136"/>
      <c r="D3" s="136"/>
      <c r="E3" s="136"/>
      <c r="F3" s="136"/>
      <c r="G3" s="136"/>
    </row>
    <row r="4" spans="1:7" x14ac:dyDescent="0.35">
      <c r="A4" s="22" t="s">
        <v>222</v>
      </c>
      <c r="B4" s="23" t="s">
        <v>85</v>
      </c>
      <c r="C4" s="22"/>
      <c r="D4" s="22"/>
      <c r="E4" s="22"/>
      <c r="F4" s="22"/>
      <c r="G4" s="22"/>
    </row>
    <row r="5" spans="1:7" x14ac:dyDescent="0.35">
      <c r="A5" s="24" t="s">
        <v>88</v>
      </c>
      <c r="B5" s="130" t="s">
        <v>87</v>
      </c>
      <c r="C5" s="131"/>
      <c r="D5" s="131"/>
      <c r="E5" s="131"/>
      <c r="F5" s="131"/>
      <c r="G5" s="132"/>
    </row>
    <row r="6" spans="1:7" x14ac:dyDescent="0.35">
      <c r="A6" s="25" t="s">
        <v>223</v>
      </c>
      <c r="B6" s="26" t="s">
        <v>91</v>
      </c>
      <c r="C6" s="27" t="s">
        <v>7</v>
      </c>
      <c r="D6" s="27" t="s">
        <v>437</v>
      </c>
      <c r="E6" s="27">
        <f>(2*2*1.5)*10</f>
        <v>60</v>
      </c>
      <c r="F6" s="28"/>
      <c r="G6" s="28">
        <f>E6*F6</f>
        <v>0</v>
      </c>
    </row>
    <row r="7" spans="1:7" x14ac:dyDescent="0.35">
      <c r="A7" s="25" t="s">
        <v>224</v>
      </c>
      <c r="B7" s="26" t="s">
        <v>92</v>
      </c>
      <c r="C7" s="27" t="s">
        <v>7</v>
      </c>
      <c r="D7" s="27" t="s">
        <v>362</v>
      </c>
      <c r="E7" s="27">
        <f>(1.2*1.2*1)*4</f>
        <v>5.76</v>
      </c>
      <c r="F7" s="28"/>
      <c r="G7" s="28">
        <f>E7*F7</f>
        <v>0</v>
      </c>
    </row>
    <row r="8" spans="1:7" x14ac:dyDescent="0.35">
      <c r="A8" s="25" t="s">
        <v>225</v>
      </c>
      <c r="B8" s="26" t="s">
        <v>93</v>
      </c>
      <c r="C8" s="27" t="s">
        <v>7</v>
      </c>
      <c r="D8" s="27" t="s">
        <v>389</v>
      </c>
      <c r="E8" s="27">
        <f>(1.2*1.2*1)*6</f>
        <v>8.64</v>
      </c>
      <c r="F8" s="28"/>
      <c r="G8" s="28">
        <f>E8*F8</f>
        <v>0</v>
      </c>
    </row>
    <row r="9" spans="1:7" x14ac:dyDescent="0.35">
      <c r="A9" s="25" t="s">
        <v>226</v>
      </c>
      <c r="B9" s="26" t="s">
        <v>90</v>
      </c>
      <c r="C9" s="27" t="s">
        <v>7</v>
      </c>
      <c r="D9" s="27" t="s">
        <v>89</v>
      </c>
      <c r="E9" s="27">
        <f>(1.2*1.2*1)*2</f>
        <v>2.88</v>
      </c>
      <c r="F9" s="28"/>
      <c r="G9" s="28">
        <f>E9*F9</f>
        <v>0</v>
      </c>
    </row>
    <row r="10" spans="1:7" s="29" customFormat="1" x14ac:dyDescent="0.35">
      <c r="A10" s="137" t="s">
        <v>8</v>
      </c>
      <c r="B10" s="138"/>
      <c r="C10" s="138"/>
      <c r="D10" s="138"/>
      <c r="E10" s="138"/>
      <c r="F10" s="139"/>
      <c r="G10" s="30">
        <f>SUM(G6:G9)</f>
        <v>0</v>
      </c>
    </row>
    <row r="11" spans="1:7" x14ac:dyDescent="0.35">
      <c r="A11" s="22" t="s">
        <v>227</v>
      </c>
      <c r="B11" s="23" t="s">
        <v>13</v>
      </c>
      <c r="C11" s="22"/>
      <c r="D11" s="22"/>
      <c r="E11" s="22"/>
      <c r="F11" s="22"/>
      <c r="G11" s="22"/>
    </row>
    <row r="12" spans="1:7" s="31" customFormat="1" x14ac:dyDescent="0.35">
      <c r="A12" s="24" t="s">
        <v>88</v>
      </c>
      <c r="B12" s="140" t="s">
        <v>96</v>
      </c>
      <c r="C12" s="141"/>
      <c r="D12" s="141"/>
      <c r="E12" s="141"/>
      <c r="F12" s="141"/>
      <c r="G12" s="142"/>
    </row>
    <row r="13" spans="1:7" s="31" customFormat="1" x14ac:dyDescent="0.35">
      <c r="A13" s="25" t="s">
        <v>228</v>
      </c>
      <c r="B13" s="26" t="s">
        <v>91</v>
      </c>
      <c r="C13" s="27" t="s">
        <v>7</v>
      </c>
      <c r="D13" s="27" t="s">
        <v>438</v>
      </c>
      <c r="E13" s="27">
        <f>(1.2*1.2*0.05)*10</f>
        <v>0.72</v>
      </c>
      <c r="F13" s="28"/>
      <c r="G13" s="28">
        <f>E13*F13</f>
        <v>0</v>
      </c>
    </row>
    <row r="14" spans="1:7" s="31" customFormat="1" x14ac:dyDescent="0.35">
      <c r="A14" s="25" t="s">
        <v>229</v>
      </c>
      <c r="B14" s="26" t="s">
        <v>92</v>
      </c>
      <c r="C14" s="27" t="s">
        <v>7</v>
      </c>
      <c r="D14" s="27" t="s">
        <v>363</v>
      </c>
      <c r="E14" s="27">
        <f>(1.2*1.2*0.05)*4</f>
        <v>0.28799999999999998</v>
      </c>
      <c r="F14" s="28"/>
      <c r="G14" s="28">
        <f>E14*F14</f>
        <v>0</v>
      </c>
    </row>
    <row r="15" spans="1:7" s="31" customFormat="1" x14ac:dyDescent="0.35">
      <c r="A15" s="25" t="s">
        <v>230</v>
      </c>
      <c r="B15" s="26" t="s">
        <v>93</v>
      </c>
      <c r="C15" s="27" t="s">
        <v>7</v>
      </c>
      <c r="D15" s="27" t="s">
        <v>388</v>
      </c>
      <c r="E15" s="27">
        <f>(1.2*1.2*0.05)*6</f>
        <v>0.43199999999999994</v>
      </c>
      <c r="F15" s="28"/>
      <c r="G15" s="28">
        <f>E15*F15</f>
        <v>0</v>
      </c>
    </row>
    <row r="16" spans="1:7" s="31" customFormat="1" x14ac:dyDescent="0.35">
      <c r="A16" s="25" t="s">
        <v>231</v>
      </c>
      <c r="B16" s="26" t="s">
        <v>90</v>
      </c>
      <c r="C16" s="27" t="s">
        <v>7</v>
      </c>
      <c r="D16" s="27" t="s">
        <v>97</v>
      </c>
      <c r="E16" s="27">
        <f>(1.2*1.2*0.05)*2</f>
        <v>0.14399999999999999</v>
      </c>
      <c r="F16" s="28"/>
      <c r="G16" s="28">
        <f>E16*F16</f>
        <v>0</v>
      </c>
    </row>
    <row r="17" spans="1:7" x14ac:dyDescent="0.35">
      <c r="A17" s="24" t="s">
        <v>88</v>
      </c>
      <c r="B17" s="140" t="s">
        <v>98</v>
      </c>
      <c r="C17" s="141"/>
      <c r="D17" s="141"/>
      <c r="E17" s="141"/>
      <c r="F17" s="141"/>
      <c r="G17" s="142"/>
    </row>
    <row r="18" spans="1:7" x14ac:dyDescent="0.35">
      <c r="A18" s="25" t="s">
        <v>232</v>
      </c>
      <c r="B18" s="26" t="s">
        <v>100</v>
      </c>
      <c r="C18" s="27" t="s">
        <v>7</v>
      </c>
      <c r="D18" s="27" t="s">
        <v>439</v>
      </c>
      <c r="E18" s="27">
        <f>(2*2*0.4)*10</f>
        <v>16</v>
      </c>
      <c r="F18" s="28"/>
      <c r="G18" s="28">
        <f>E18*F18</f>
        <v>0</v>
      </c>
    </row>
    <row r="19" spans="1:7" x14ac:dyDescent="0.35">
      <c r="A19" s="25" t="s">
        <v>233</v>
      </c>
      <c r="B19" s="26" t="s">
        <v>101</v>
      </c>
      <c r="C19" s="27" t="s">
        <v>7</v>
      </c>
      <c r="D19" s="27" t="s">
        <v>364</v>
      </c>
      <c r="E19" s="27">
        <f>(1.2*1.2*0.4)*4</f>
        <v>2.3039999999999998</v>
      </c>
      <c r="F19" s="28"/>
      <c r="G19" s="28">
        <f>E19*F19</f>
        <v>0</v>
      </c>
    </row>
    <row r="20" spans="1:7" x14ac:dyDescent="0.35">
      <c r="A20" s="25" t="s">
        <v>234</v>
      </c>
      <c r="B20" s="26" t="s">
        <v>102</v>
      </c>
      <c r="C20" s="27" t="s">
        <v>7</v>
      </c>
      <c r="D20" s="27" t="s">
        <v>368</v>
      </c>
      <c r="E20" s="27">
        <f>(1.2*1.2*0.4)*6</f>
        <v>3.4559999999999995</v>
      </c>
      <c r="F20" s="28"/>
      <c r="G20" s="28">
        <f>E20*F20</f>
        <v>0</v>
      </c>
    </row>
    <row r="21" spans="1:7" x14ac:dyDescent="0.35">
      <c r="A21" s="25" t="s">
        <v>235</v>
      </c>
      <c r="B21" s="26" t="s">
        <v>103</v>
      </c>
      <c r="C21" s="27" t="s">
        <v>7</v>
      </c>
      <c r="D21" s="27" t="s">
        <v>99</v>
      </c>
      <c r="E21" s="27">
        <f>(1.2*1.2*0.4)*2</f>
        <v>1.1519999999999999</v>
      </c>
      <c r="F21" s="28"/>
      <c r="G21" s="28">
        <f>E21*F21</f>
        <v>0</v>
      </c>
    </row>
    <row r="22" spans="1:7" x14ac:dyDescent="0.35">
      <c r="A22" s="24" t="s">
        <v>88</v>
      </c>
      <c r="B22" s="140" t="s">
        <v>104</v>
      </c>
      <c r="C22" s="141"/>
      <c r="D22" s="141"/>
      <c r="E22" s="141"/>
      <c r="F22" s="141"/>
      <c r="G22" s="142"/>
    </row>
    <row r="23" spans="1:7" x14ac:dyDescent="0.35">
      <c r="A23" s="25" t="s">
        <v>236</v>
      </c>
      <c r="B23" s="26" t="s">
        <v>106</v>
      </c>
      <c r="C23" s="27" t="s">
        <v>7</v>
      </c>
      <c r="D23" s="27" t="s">
        <v>440</v>
      </c>
      <c r="E23" s="27">
        <f>(0.2*0.4*1.5)*10</f>
        <v>1.2000000000000002</v>
      </c>
      <c r="F23" s="28"/>
      <c r="G23" s="28">
        <f>E23*F23</f>
        <v>0</v>
      </c>
    </row>
    <row r="24" spans="1:7" x14ac:dyDescent="0.35">
      <c r="A24" s="25" t="s">
        <v>237</v>
      </c>
      <c r="B24" s="26" t="s">
        <v>107</v>
      </c>
      <c r="C24" s="27" t="s">
        <v>7</v>
      </c>
      <c r="D24" s="27" t="s">
        <v>365</v>
      </c>
      <c r="E24" s="27">
        <f>(0.2*0.4*1.2)*4</f>
        <v>0.38400000000000006</v>
      </c>
      <c r="F24" s="28"/>
      <c r="G24" s="28">
        <f>E24*F24</f>
        <v>0</v>
      </c>
    </row>
    <row r="25" spans="1:7" x14ac:dyDescent="0.35">
      <c r="A25" s="25" t="s">
        <v>238</v>
      </c>
      <c r="B25" s="26" t="s">
        <v>108</v>
      </c>
      <c r="C25" s="27" t="s">
        <v>7</v>
      </c>
      <c r="D25" s="27" t="s">
        <v>367</v>
      </c>
      <c r="E25" s="27">
        <f>(0.2*0.4*1.2)*6</f>
        <v>0.57600000000000007</v>
      </c>
      <c r="F25" s="28"/>
      <c r="G25" s="28">
        <f>E25*F25</f>
        <v>0</v>
      </c>
    </row>
    <row r="26" spans="1:7" x14ac:dyDescent="0.35">
      <c r="A26" s="25" t="s">
        <v>239</v>
      </c>
      <c r="B26" s="26" t="s">
        <v>109</v>
      </c>
      <c r="C26" s="27" t="s">
        <v>7</v>
      </c>
      <c r="D26" s="27" t="s">
        <v>105</v>
      </c>
      <c r="E26" s="27">
        <f>(0.2*0.2*1.2)*2</f>
        <v>9.6000000000000016E-2</v>
      </c>
      <c r="F26" s="28"/>
      <c r="G26" s="28">
        <f>E26*F26</f>
        <v>0</v>
      </c>
    </row>
    <row r="27" spans="1:7" x14ac:dyDescent="0.35">
      <c r="A27" s="137" t="s">
        <v>8</v>
      </c>
      <c r="B27" s="138"/>
      <c r="C27" s="138"/>
      <c r="D27" s="138"/>
      <c r="E27" s="138"/>
      <c r="F27" s="139"/>
      <c r="G27" s="30">
        <f>SUM(G13:G26)</f>
        <v>0</v>
      </c>
    </row>
    <row r="28" spans="1:7" x14ac:dyDescent="0.35">
      <c r="A28" s="22" t="s">
        <v>240</v>
      </c>
      <c r="B28" s="23" t="s">
        <v>110</v>
      </c>
      <c r="C28" s="22"/>
      <c r="D28" s="22"/>
      <c r="E28" s="22"/>
      <c r="F28" s="22"/>
      <c r="G28" s="22"/>
    </row>
    <row r="29" spans="1:7" x14ac:dyDescent="0.35">
      <c r="A29" s="24" t="s">
        <v>88</v>
      </c>
      <c r="B29" s="140" t="s">
        <v>111</v>
      </c>
      <c r="C29" s="141"/>
      <c r="D29" s="141"/>
      <c r="E29" s="141"/>
      <c r="F29" s="141"/>
      <c r="G29" s="142"/>
    </row>
    <row r="30" spans="1:7" s="29" customFormat="1" ht="26" x14ac:dyDescent="0.35">
      <c r="A30" s="25" t="s">
        <v>284</v>
      </c>
      <c r="B30" s="26" t="s">
        <v>94</v>
      </c>
      <c r="C30" s="27" t="s">
        <v>7</v>
      </c>
      <c r="D30" s="27" t="s">
        <v>425</v>
      </c>
      <c r="E30" s="27">
        <f>(0.6*0.4*104)</f>
        <v>24.96</v>
      </c>
      <c r="F30" s="28"/>
      <c r="G30" s="28">
        <f>E30*F30</f>
        <v>0</v>
      </c>
    </row>
    <row r="31" spans="1:7" x14ac:dyDescent="0.35">
      <c r="A31" s="25" t="s">
        <v>285</v>
      </c>
      <c r="B31" s="26" t="s">
        <v>95</v>
      </c>
      <c r="C31" s="27" t="s">
        <v>28</v>
      </c>
      <c r="D31" s="27" t="s">
        <v>426</v>
      </c>
      <c r="E31" s="27">
        <f>(0.4*0.6*104)</f>
        <v>24.96</v>
      </c>
      <c r="F31" s="28"/>
      <c r="G31" s="28">
        <f>E31*F31</f>
        <v>0</v>
      </c>
    </row>
    <row r="32" spans="1:7" ht="52" x14ac:dyDescent="0.35">
      <c r="A32" s="25" t="s">
        <v>286</v>
      </c>
      <c r="B32" s="26" t="s">
        <v>14</v>
      </c>
      <c r="C32" s="27" t="s">
        <v>7</v>
      </c>
      <c r="D32" s="27" t="s">
        <v>427</v>
      </c>
      <c r="E32" s="27">
        <f>0.4*0.2*104</f>
        <v>8.3200000000000021</v>
      </c>
      <c r="F32" s="28"/>
      <c r="G32" s="28">
        <f>E32*F32</f>
        <v>0</v>
      </c>
    </row>
    <row r="33" spans="1:7" s="29" customFormat="1" x14ac:dyDescent="0.35">
      <c r="A33" s="137" t="s">
        <v>8</v>
      </c>
      <c r="B33" s="138"/>
      <c r="C33" s="138"/>
      <c r="D33" s="138"/>
      <c r="E33" s="138"/>
      <c r="F33" s="139"/>
      <c r="G33" s="30">
        <f>SUM(G30:G32)</f>
        <v>0</v>
      </c>
    </row>
    <row r="34" spans="1:7" x14ac:dyDescent="0.35">
      <c r="A34" s="22" t="s">
        <v>241</v>
      </c>
      <c r="B34" s="23" t="s">
        <v>9</v>
      </c>
      <c r="C34" s="22"/>
      <c r="D34" s="22"/>
      <c r="E34" s="22"/>
      <c r="F34" s="22"/>
      <c r="G34" s="22"/>
    </row>
    <row r="35" spans="1:7" ht="78" x14ac:dyDescent="0.35">
      <c r="A35" s="25" t="s">
        <v>287</v>
      </c>
      <c r="B35" s="26" t="s">
        <v>113</v>
      </c>
      <c r="C35" s="27" t="s">
        <v>7</v>
      </c>
      <c r="D35" s="27" t="s">
        <v>360</v>
      </c>
      <c r="E35" s="27">
        <f>150*0.2</f>
        <v>30</v>
      </c>
      <c r="F35" s="28"/>
      <c r="G35" s="28">
        <f>E35*F35</f>
        <v>0</v>
      </c>
    </row>
    <row r="36" spans="1:7" ht="39" x14ac:dyDescent="0.35">
      <c r="A36" s="25" t="s">
        <v>288</v>
      </c>
      <c r="B36" s="26" t="s">
        <v>114</v>
      </c>
      <c r="C36" s="27" t="s">
        <v>7</v>
      </c>
      <c r="D36" s="27" t="s">
        <v>360</v>
      </c>
      <c r="E36" s="27">
        <f>150*0.2</f>
        <v>30</v>
      </c>
      <c r="F36" s="28"/>
      <c r="G36" s="28">
        <f>E36*F36</f>
        <v>0</v>
      </c>
    </row>
    <row r="37" spans="1:7" ht="26" x14ac:dyDescent="0.35">
      <c r="A37" s="25" t="s">
        <v>289</v>
      </c>
      <c r="B37" s="26" t="s">
        <v>115</v>
      </c>
      <c r="C37" s="27" t="s">
        <v>7</v>
      </c>
      <c r="D37" s="27" t="s">
        <v>361</v>
      </c>
      <c r="E37" s="27">
        <f>150*0.1</f>
        <v>15</v>
      </c>
      <c r="F37" s="28"/>
      <c r="G37" s="28">
        <f>E37*F37</f>
        <v>0</v>
      </c>
    </row>
    <row r="38" spans="1:7" s="29" customFormat="1" x14ac:dyDescent="0.35">
      <c r="A38" s="137" t="s">
        <v>8</v>
      </c>
      <c r="B38" s="138"/>
      <c r="C38" s="138"/>
      <c r="D38" s="138"/>
      <c r="E38" s="138"/>
      <c r="F38" s="139"/>
      <c r="G38" s="30">
        <f>SUM(G35:G37)</f>
        <v>0</v>
      </c>
    </row>
    <row r="39" spans="1:7" ht="26" x14ac:dyDescent="0.35">
      <c r="A39" s="22" t="s">
        <v>242</v>
      </c>
      <c r="B39" s="23" t="s">
        <v>112</v>
      </c>
      <c r="C39" s="22"/>
      <c r="D39" s="22"/>
      <c r="E39" s="22"/>
      <c r="F39" s="22"/>
      <c r="G39" s="22"/>
    </row>
    <row r="40" spans="1:7" ht="26" x14ac:dyDescent="0.35">
      <c r="A40" s="25" t="s">
        <v>291</v>
      </c>
      <c r="B40" s="26" t="s">
        <v>10</v>
      </c>
      <c r="C40" s="27" t="s">
        <v>11</v>
      </c>
      <c r="D40" s="27">
        <v>150</v>
      </c>
      <c r="E40" s="27">
        <v>150</v>
      </c>
      <c r="F40" s="28"/>
      <c r="G40" s="28">
        <f>E40*F40</f>
        <v>0</v>
      </c>
    </row>
    <row r="41" spans="1:7" ht="52" x14ac:dyDescent="0.35">
      <c r="A41" s="25" t="s">
        <v>292</v>
      </c>
      <c r="B41" s="26" t="s">
        <v>12</v>
      </c>
      <c r="C41" s="27" t="s">
        <v>11</v>
      </c>
      <c r="D41" s="27">
        <v>150</v>
      </c>
      <c r="E41" s="27">
        <v>150</v>
      </c>
      <c r="F41" s="28"/>
      <c r="G41" s="28">
        <f>E41*F41</f>
        <v>0</v>
      </c>
    </row>
    <row r="42" spans="1:7" ht="91" x14ac:dyDescent="0.35">
      <c r="A42" s="25" t="s">
        <v>293</v>
      </c>
      <c r="B42" s="26" t="s">
        <v>15</v>
      </c>
      <c r="C42" s="27" t="s">
        <v>7</v>
      </c>
      <c r="D42" s="27" t="s">
        <v>361</v>
      </c>
      <c r="E42" s="27">
        <f>150*0.1</f>
        <v>15</v>
      </c>
      <c r="F42" s="28"/>
      <c r="G42" s="28">
        <f>E42*F42</f>
        <v>0</v>
      </c>
    </row>
    <row r="43" spans="1:7" x14ac:dyDescent="0.35">
      <c r="A43" s="137" t="s">
        <v>8</v>
      </c>
      <c r="B43" s="138"/>
      <c r="C43" s="138"/>
      <c r="D43" s="138"/>
      <c r="E43" s="138"/>
      <c r="F43" s="139"/>
      <c r="G43" s="30">
        <f>SUM(G40:G42)</f>
        <v>0</v>
      </c>
    </row>
    <row r="44" spans="1:7" ht="15.5" x14ac:dyDescent="0.35">
      <c r="A44" s="153" t="s">
        <v>160</v>
      </c>
      <c r="B44" s="153"/>
      <c r="C44" s="153"/>
      <c r="D44" s="153"/>
      <c r="E44" s="153"/>
      <c r="F44" s="153"/>
      <c r="G44" s="32">
        <f>SUM(G43,G38,G33,G27,G10)</f>
        <v>0</v>
      </c>
    </row>
    <row r="45" spans="1:7" ht="15.5" x14ac:dyDescent="0.35">
      <c r="A45" s="21" t="s">
        <v>294</v>
      </c>
      <c r="B45" s="136" t="s">
        <v>116</v>
      </c>
      <c r="C45" s="136"/>
      <c r="D45" s="136"/>
      <c r="E45" s="136"/>
      <c r="F45" s="136"/>
      <c r="G45" s="136"/>
    </row>
    <row r="46" spans="1:7" x14ac:dyDescent="0.35">
      <c r="A46" s="22"/>
      <c r="B46" s="23" t="s">
        <v>13</v>
      </c>
      <c r="C46" s="22"/>
      <c r="D46" s="22"/>
      <c r="E46" s="22"/>
      <c r="F46" s="22"/>
      <c r="G46" s="22"/>
    </row>
    <row r="47" spans="1:7" x14ac:dyDescent="0.35">
      <c r="A47" s="24" t="s">
        <v>88</v>
      </c>
      <c r="B47" s="140" t="s">
        <v>118</v>
      </c>
      <c r="C47" s="141"/>
      <c r="D47" s="141"/>
      <c r="E47" s="141"/>
      <c r="F47" s="141"/>
      <c r="G47" s="142"/>
    </row>
    <row r="48" spans="1:7" x14ac:dyDescent="0.35">
      <c r="A48" s="25" t="s">
        <v>295</v>
      </c>
      <c r="B48" s="26" t="s">
        <v>119</v>
      </c>
      <c r="C48" s="27" t="s">
        <v>7</v>
      </c>
      <c r="D48" s="27" t="s">
        <v>441</v>
      </c>
      <c r="E48" s="27">
        <f>(0.2*0.4*4)*10</f>
        <v>3.2000000000000006</v>
      </c>
      <c r="F48" s="28"/>
      <c r="G48" s="28">
        <f>E48*F48</f>
        <v>0</v>
      </c>
    </row>
    <row r="49" spans="1:7" x14ac:dyDescent="0.35">
      <c r="A49" s="25" t="s">
        <v>296</v>
      </c>
      <c r="B49" s="26" t="s">
        <v>120</v>
      </c>
      <c r="C49" s="27" t="s">
        <v>7</v>
      </c>
      <c r="D49" s="27" t="s">
        <v>366</v>
      </c>
      <c r="E49" s="27">
        <f>(0.2*0.4*4)*4</f>
        <v>1.2800000000000002</v>
      </c>
      <c r="F49" s="28"/>
      <c r="G49" s="28">
        <f>E49*F49</f>
        <v>0</v>
      </c>
    </row>
    <row r="50" spans="1:7" x14ac:dyDescent="0.35">
      <c r="A50" s="25" t="s">
        <v>297</v>
      </c>
      <c r="B50" s="26" t="s">
        <v>121</v>
      </c>
      <c r="C50" s="27" t="s">
        <v>7</v>
      </c>
      <c r="D50" s="27" t="s">
        <v>359</v>
      </c>
      <c r="E50" s="27">
        <f>(0.2*0.4*4)*6</f>
        <v>1.9200000000000004</v>
      </c>
      <c r="F50" s="28"/>
      <c r="G50" s="28">
        <f>E50*F50</f>
        <v>0</v>
      </c>
    </row>
    <row r="51" spans="1:7" x14ac:dyDescent="0.35">
      <c r="A51" s="25" t="s">
        <v>298</v>
      </c>
      <c r="B51" s="26" t="s">
        <v>122</v>
      </c>
      <c r="C51" s="27" t="s">
        <v>7</v>
      </c>
      <c r="D51" s="27" t="s">
        <v>123</v>
      </c>
      <c r="E51" s="27">
        <f>(0.2*0.2*4)*2</f>
        <v>0.32000000000000006</v>
      </c>
      <c r="F51" s="28"/>
      <c r="G51" s="28">
        <f>E51*F51</f>
        <v>0</v>
      </c>
    </row>
    <row r="52" spans="1:7" ht="39" x14ac:dyDescent="0.35">
      <c r="A52" s="25" t="s">
        <v>299</v>
      </c>
      <c r="B52" s="26" t="s">
        <v>16</v>
      </c>
      <c r="C52" s="27" t="s">
        <v>7</v>
      </c>
      <c r="D52" s="27" t="s">
        <v>355</v>
      </c>
      <c r="E52" s="27">
        <f>54*0.2*0.1</f>
        <v>1.08</v>
      </c>
      <c r="F52" s="28"/>
      <c r="G52" s="28">
        <f t="shared" ref="G52:G54" si="0">E52*F52</f>
        <v>0</v>
      </c>
    </row>
    <row r="53" spans="1:7" ht="26" x14ac:dyDescent="0.35">
      <c r="A53" s="25" t="s">
        <v>300</v>
      </c>
      <c r="B53" s="26" t="s">
        <v>17</v>
      </c>
      <c r="C53" s="27" t="s">
        <v>7</v>
      </c>
      <c r="D53" s="27" t="s">
        <v>428</v>
      </c>
      <c r="E53" s="27">
        <f>120*0.2*0.5</f>
        <v>12</v>
      </c>
      <c r="F53" s="28"/>
      <c r="G53" s="28">
        <f t="shared" si="0"/>
        <v>0</v>
      </c>
    </row>
    <row r="54" spans="1:7" ht="65" x14ac:dyDescent="0.35">
      <c r="A54" s="25" t="s">
        <v>301</v>
      </c>
      <c r="B54" s="26" t="s">
        <v>124</v>
      </c>
      <c r="C54" s="27" t="s">
        <v>7</v>
      </c>
      <c r="D54" s="27" t="s">
        <v>360</v>
      </c>
      <c r="E54" s="27">
        <f>150*0.2</f>
        <v>30</v>
      </c>
      <c r="F54" s="28"/>
      <c r="G54" s="28">
        <f t="shared" si="0"/>
        <v>0</v>
      </c>
    </row>
    <row r="55" spans="1:7" x14ac:dyDescent="0.35">
      <c r="A55" s="137" t="s">
        <v>8</v>
      </c>
      <c r="B55" s="138"/>
      <c r="C55" s="138"/>
      <c r="D55" s="138"/>
      <c r="E55" s="138"/>
      <c r="F55" s="139"/>
      <c r="G55" s="30">
        <f>SUM(G48:G54)</f>
        <v>0</v>
      </c>
    </row>
    <row r="56" spans="1:7" x14ac:dyDescent="0.35">
      <c r="A56" s="22" t="s">
        <v>302</v>
      </c>
      <c r="B56" s="23" t="s">
        <v>18</v>
      </c>
      <c r="C56" s="22"/>
      <c r="D56" s="22"/>
      <c r="E56" s="22"/>
      <c r="F56" s="22"/>
      <c r="G56" s="22"/>
    </row>
    <row r="57" spans="1:7" ht="39" x14ac:dyDescent="0.35">
      <c r="A57" s="25" t="s">
        <v>303</v>
      </c>
      <c r="B57" s="26" t="s">
        <v>19</v>
      </c>
      <c r="C57" s="27" t="s">
        <v>7</v>
      </c>
      <c r="D57" s="27" t="s">
        <v>356</v>
      </c>
      <c r="E57" s="27">
        <f>0.2*0.25*(4.02+4.9*2)</f>
        <v>0.69100000000000006</v>
      </c>
      <c r="F57" s="28"/>
      <c r="G57" s="28">
        <f t="shared" ref="G57:G61" si="1">E57*F57</f>
        <v>0</v>
      </c>
    </row>
    <row r="58" spans="1:7" ht="91" x14ac:dyDescent="0.35">
      <c r="A58" s="25" t="s">
        <v>304</v>
      </c>
      <c r="B58" s="26" t="s">
        <v>20</v>
      </c>
      <c r="C58" s="27" t="s">
        <v>7</v>
      </c>
      <c r="D58" s="27" t="s">
        <v>357</v>
      </c>
      <c r="E58" s="27">
        <f>(22*(0.17+0.22)/2*0.2*1.9)+(1*0.15*2*4.02)</f>
        <v>2.8361999999999998</v>
      </c>
      <c r="F58" s="28"/>
      <c r="G58" s="28">
        <f t="shared" si="1"/>
        <v>0</v>
      </c>
    </row>
    <row r="59" spans="1:7" ht="65" x14ac:dyDescent="0.35">
      <c r="A59" s="25" t="s">
        <v>305</v>
      </c>
      <c r="B59" s="26" t="s">
        <v>21</v>
      </c>
      <c r="C59" s="27" t="s">
        <v>11</v>
      </c>
      <c r="D59" s="27" t="s">
        <v>358</v>
      </c>
      <c r="E59" s="27">
        <f>22*0.2*1.9</f>
        <v>8.36</v>
      </c>
      <c r="F59" s="28"/>
      <c r="G59" s="28">
        <f t="shared" si="1"/>
        <v>0</v>
      </c>
    </row>
    <row r="60" spans="1:7" ht="52" x14ac:dyDescent="0.35">
      <c r="A60" s="25" t="s">
        <v>306</v>
      </c>
      <c r="B60" s="26" t="s">
        <v>22</v>
      </c>
      <c r="C60" s="27" t="s">
        <v>11</v>
      </c>
      <c r="D60" s="27" t="s">
        <v>163</v>
      </c>
      <c r="E60" s="27">
        <f>2*3.02+2.4*4.02</f>
        <v>15.687999999999999</v>
      </c>
      <c r="F60" s="28"/>
      <c r="G60" s="28">
        <f t="shared" si="1"/>
        <v>0</v>
      </c>
    </row>
    <row r="61" spans="1:7" ht="65" x14ac:dyDescent="0.35">
      <c r="A61" s="25" t="s">
        <v>307</v>
      </c>
      <c r="B61" s="26" t="s">
        <v>23</v>
      </c>
      <c r="C61" s="27" t="s">
        <v>24</v>
      </c>
      <c r="D61" s="27" t="s">
        <v>86</v>
      </c>
      <c r="E61" s="27">
        <f>3.76+2+3.35+0.5</f>
        <v>9.61</v>
      </c>
      <c r="F61" s="28"/>
      <c r="G61" s="28">
        <f t="shared" si="1"/>
        <v>0</v>
      </c>
    </row>
    <row r="62" spans="1:7" x14ac:dyDescent="0.35">
      <c r="A62" s="137" t="s">
        <v>25</v>
      </c>
      <c r="B62" s="138"/>
      <c r="C62" s="138"/>
      <c r="D62" s="138"/>
      <c r="E62" s="138"/>
      <c r="F62" s="139"/>
      <c r="G62" s="30">
        <f>SUM(G57:G61)</f>
        <v>0</v>
      </c>
    </row>
    <row r="63" spans="1:7" x14ac:dyDescent="0.35">
      <c r="A63" s="33" t="s">
        <v>324</v>
      </c>
      <c r="B63" s="23" t="s">
        <v>26</v>
      </c>
      <c r="C63" s="33"/>
      <c r="D63" s="33"/>
      <c r="E63" s="33"/>
      <c r="F63" s="33"/>
      <c r="G63" s="33"/>
    </row>
    <row r="64" spans="1:7" x14ac:dyDescent="0.35">
      <c r="A64" s="34"/>
      <c r="B64" s="35" t="s">
        <v>27</v>
      </c>
      <c r="C64" s="34"/>
      <c r="D64" s="34"/>
      <c r="E64" s="34"/>
      <c r="F64" s="36"/>
      <c r="G64" s="36"/>
    </row>
    <row r="65" spans="1:7" ht="37.25" customHeight="1" x14ac:dyDescent="0.35">
      <c r="A65" s="37"/>
      <c r="B65" s="151" t="s">
        <v>29</v>
      </c>
      <c r="C65" s="152"/>
      <c r="D65" s="152"/>
      <c r="E65" s="152"/>
      <c r="F65" s="152"/>
      <c r="G65" s="152"/>
    </row>
    <row r="66" spans="1:7" x14ac:dyDescent="0.35">
      <c r="A66" s="38" t="s">
        <v>390</v>
      </c>
      <c r="B66" s="39" t="s">
        <v>30</v>
      </c>
      <c r="C66" s="40" t="s">
        <v>11</v>
      </c>
      <c r="D66" s="40" t="s">
        <v>429</v>
      </c>
      <c r="E66" s="40">
        <f>(73*3)</f>
        <v>219</v>
      </c>
      <c r="F66" s="41"/>
      <c r="G66" s="41">
        <f>E66*F66</f>
        <v>0</v>
      </c>
    </row>
    <row r="67" spans="1:7" x14ac:dyDescent="0.35">
      <c r="A67" s="119" t="s">
        <v>8</v>
      </c>
      <c r="B67" s="119"/>
      <c r="C67" s="119"/>
      <c r="D67" s="119"/>
      <c r="E67" s="119"/>
      <c r="F67" s="119"/>
      <c r="G67" s="30">
        <f>SUM(G66)</f>
        <v>0</v>
      </c>
    </row>
    <row r="68" spans="1:7" x14ac:dyDescent="0.35">
      <c r="A68" s="22" t="s">
        <v>325</v>
      </c>
      <c r="B68" s="23" t="s">
        <v>31</v>
      </c>
      <c r="C68" s="22"/>
      <c r="D68" s="22"/>
      <c r="E68" s="22"/>
      <c r="F68" s="22"/>
      <c r="G68" s="22"/>
    </row>
    <row r="69" spans="1:7" x14ac:dyDescent="0.35">
      <c r="A69" s="37"/>
      <c r="B69" s="42" t="s">
        <v>32</v>
      </c>
      <c r="C69" s="27"/>
      <c r="D69" s="27"/>
      <c r="E69" s="27"/>
      <c r="F69" s="28"/>
      <c r="G69" s="28"/>
    </row>
    <row r="70" spans="1:7" x14ac:dyDescent="0.35">
      <c r="A70" s="37"/>
      <c r="B70" s="42" t="s">
        <v>33</v>
      </c>
      <c r="C70" s="27"/>
      <c r="D70" s="27"/>
      <c r="E70" s="27"/>
      <c r="F70" s="28"/>
      <c r="G70" s="28"/>
    </row>
    <row r="71" spans="1:7" x14ac:dyDescent="0.35">
      <c r="A71" s="25" t="s">
        <v>391</v>
      </c>
      <c r="B71" s="26" t="s">
        <v>34</v>
      </c>
      <c r="C71" s="27" t="s">
        <v>11</v>
      </c>
      <c r="D71" s="40" t="s">
        <v>430</v>
      </c>
      <c r="E71" s="40">
        <f>(73*3*2)</f>
        <v>438</v>
      </c>
      <c r="F71" s="28"/>
      <c r="G71" s="28">
        <f>E71*F71</f>
        <v>0</v>
      </c>
    </row>
    <row r="72" spans="1:7" x14ac:dyDescent="0.35">
      <c r="A72" s="37"/>
      <c r="B72" s="43" t="s">
        <v>35</v>
      </c>
      <c r="C72" s="27"/>
      <c r="D72" s="27"/>
      <c r="E72" s="27"/>
      <c r="F72" s="28"/>
      <c r="G72" s="28"/>
    </row>
    <row r="73" spans="1:7" ht="26" x14ac:dyDescent="0.35">
      <c r="A73" s="37"/>
      <c r="B73" s="44" t="s">
        <v>36</v>
      </c>
      <c r="C73" s="27"/>
      <c r="D73" s="27"/>
      <c r="E73" s="27"/>
      <c r="F73" s="28"/>
      <c r="G73" s="28"/>
    </row>
    <row r="74" spans="1:7" ht="26" x14ac:dyDescent="0.35">
      <c r="A74" s="25" t="s">
        <v>392</v>
      </c>
      <c r="B74" s="26" t="s">
        <v>37</v>
      </c>
      <c r="C74" s="27" t="s">
        <v>11</v>
      </c>
      <c r="D74" s="40" t="s">
        <v>430</v>
      </c>
      <c r="E74" s="40">
        <f>(73*3*2)</f>
        <v>438</v>
      </c>
      <c r="F74" s="28"/>
      <c r="G74" s="28">
        <f>E74*F74</f>
        <v>0</v>
      </c>
    </row>
    <row r="75" spans="1:7" x14ac:dyDescent="0.35">
      <c r="A75" s="119" t="s">
        <v>8</v>
      </c>
      <c r="B75" s="119"/>
      <c r="C75" s="119"/>
      <c r="D75" s="119"/>
      <c r="E75" s="119"/>
      <c r="F75" s="119"/>
      <c r="G75" s="30">
        <f>SUM(G70:G74)</f>
        <v>0</v>
      </c>
    </row>
    <row r="76" spans="1:7" x14ac:dyDescent="0.35">
      <c r="A76" s="22" t="s">
        <v>326</v>
      </c>
      <c r="B76" s="23" t="s">
        <v>38</v>
      </c>
      <c r="C76" s="22"/>
      <c r="D76" s="22"/>
      <c r="E76" s="22"/>
      <c r="F76" s="22"/>
      <c r="G76" s="22"/>
    </row>
    <row r="77" spans="1:7" ht="36.65" customHeight="1" x14ac:dyDescent="0.35">
      <c r="A77" s="37"/>
      <c r="B77" s="172" t="s">
        <v>252</v>
      </c>
      <c r="C77" s="173"/>
      <c r="D77" s="173"/>
      <c r="E77" s="173"/>
      <c r="F77" s="173"/>
      <c r="G77" s="174"/>
    </row>
    <row r="78" spans="1:7" ht="26" x14ac:dyDescent="0.35">
      <c r="A78" s="25" t="s">
        <v>393</v>
      </c>
      <c r="B78" s="26" t="s">
        <v>39</v>
      </c>
      <c r="C78" s="27" t="s">
        <v>11</v>
      </c>
      <c r="D78" s="27">
        <v>140</v>
      </c>
      <c r="E78" s="27">
        <v>140</v>
      </c>
      <c r="F78" s="41"/>
      <c r="G78" s="41">
        <f t="shared" ref="G78:G83" si="2">E78*F78</f>
        <v>0</v>
      </c>
    </row>
    <row r="79" spans="1:7" x14ac:dyDescent="0.35">
      <c r="A79" s="25" t="s">
        <v>394</v>
      </c>
      <c r="B79" s="26" t="s">
        <v>40</v>
      </c>
      <c r="C79" s="27" t="s">
        <v>11</v>
      </c>
      <c r="D79" s="27">
        <v>30</v>
      </c>
      <c r="E79" s="27">
        <v>30</v>
      </c>
      <c r="F79" s="41"/>
      <c r="G79" s="41">
        <f t="shared" si="2"/>
        <v>0</v>
      </c>
    </row>
    <row r="80" spans="1:7" ht="65" x14ac:dyDescent="0.35">
      <c r="A80" s="25" t="s">
        <v>395</v>
      </c>
      <c r="B80" s="26" t="s">
        <v>378</v>
      </c>
      <c r="C80" s="27" t="s">
        <v>7</v>
      </c>
      <c r="D80" s="27" t="s">
        <v>377</v>
      </c>
      <c r="E80" s="27">
        <f>13*(10*0.1*0.07)</f>
        <v>0.91000000000000014</v>
      </c>
      <c r="F80" s="41"/>
      <c r="G80" s="41">
        <f t="shared" si="2"/>
        <v>0</v>
      </c>
    </row>
    <row r="81" spans="1:7" ht="65" x14ac:dyDescent="0.35">
      <c r="A81" s="25" t="s">
        <v>396</v>
      </c>
      <c r="B81" s="26" t="s">
        <v>380</v>
      </c>
      <c r="C81" s="27" t="s">
        <v>7</v>
      </c>
      <c r="D81" s="27" t="s">
        <v>379</v>
      </c>
      <c r="E81" s="27">
        <f>13*(12*0.1*0.07)</f>
        <v>1.0920000000000003</v>
      </c>
      <c r="F81" s="41"/>
      <c r="G81" s="41">
        <f t="shared" si="2"/>
        <v>0</v>
      </c>
    </row>
    <row r="82" spans="1:7" ht="65" x14ac:dyDescent="0.35">
      <c r="A82" s="25" t="s">
        <v>397</v>
      </c>
      <c r="B82" s="26" t="s">
        <v>381</v>
      </c>
      <c r="C82" s="27" t="s">
        <v>7</v>
      </c>
      <c r="D82" s="27" t="s">
        <v>379</v>
      </c>
      <c r="E82" s="27">
        <f>13*(12*0.1*0.07)</f>
        <v>1.0920000000000003</v>
      </c>
      <c r="F82" s="41"/>
      <c r="G82" s="41">
        <f t="shared" si="2"/>
        <v>0</v>
      </c>
    </row>
    <row r="83" spans="1:7" ht="65" x14ac:dyDescent="0.35">
      <c r="A83" s="25" t="s">
        <v>398</v>
      </c>
      <c r="B83" s="26" t="s">
        <v>382</v>
      </c>
      <c r="C83" s="27" t="s">
        <v>7</v>
      </c>
      <c r="D83" s="27">
        <v>2</v>
      </c>
      <c r="E83" s="27">
        <v>2</v>
      </c>
      <c r="F83" s="41"/>
      <c r="G83" s="41">
        <f t="shared" si="2"/>
        <v>0</v>
      </c>
    </row>
    <row r="84" spans="1:7" x14ac:dyDescent="0.35">
      <c r="A84" s="25"/>
      <c r="B84" s="45" t="s">
        <v>253</v>
      </c>
      <c r="C84" s="27"/>
      <c r="D84" s="27"/>
      <c r="E84" s="27"/>
      <c r="F84" s="41"/>
      <c r="G84" s="41"/>
    </row>
    <row r="85" spans="1:7" ht="52" x14ac:dyDescent="0.35">
      <c r="A85" s="25" t="s">
        <v>399</v>
      </c>
      <c r="B85" s="26" t="s">
        <v>244</v>
      </c>
      <c r="C85" s="27" t="s">
        <v>243</v>
      </c>
      <c r="D85" s="27">
        <v>100</v>
      </c>
      <c r="E85" s="27">
        <v>100</v>
      </c>
      <c r="F85" s="41"/>
      <c r="G85" s="41">
        <f>E85*F85</f>
        <v>0</v>
      </c>
    </row>
    <row r="86" spans="1:7" x14ac:dyDescent="0.35">
      <c r="A86" s="119" t="s">
        <v>8</v>
      </c>
      <c r="B86" s="119"/>
      <c r="C86" s="119"/>
      <c r="D86" s="119"/>
      <c r="E86" s="119"/>
      <c r="F86" s="119"/>
      <c r="G86" s="30">
        <f>SUM(G78:G85)</f>
        <v>0</v>
      </c>
    </row>
    <row r="87" spans="1:7" s="31" customFormat="1" ht="15.5" x14ac:dyDescent="0.35">
      <c r="A87" s="153" t="s">
        <v>162</v>
      </c>
      <c r="B87" s="153"/>
      <c r="C87" s="153"/>
      <c r="D87" s="153"/>
      <c r="E87" s="153"/>
      <c r="F87" s="153"/>
      <c r="G87" s="32">
        <f>SUM(G86,G75,G67,G62,G55)</f>
        <v>0</v>
      </c>
    </row>
    <row r="88" spans="1:7" s="31" customFormat="1" x14ac:dyDescent="0.35">
      <c r="A88" s="46"/>
      <c r="B88" s="46"/>
      <c r="C88" s="46"/>
      <c r="D88" s="46"/>
      <c r="E88" s="46"/>
      <c r="F88" s="46"/>
      <c r="G88" s="47"/>
    </row>
    <row r="89" spans="1:7" ht="15.5" x14ac:dyDescent="0.35">
      <c r="A89" s="21" t="s">
        <v>327</v>
      </c>
      <c r="B89" s="48" t="s">
        <v>126</v>
      </c>
      <c r="C89" s="21"/>
      <c r="D89" s="21"/>
      <c r="E89" s="21"/>
      <c r="F89" s="21"/>
      <c r="G89" s="21"/>
    </row>
    <row r="90" spans="1:7" x14ac:dyDescent="0.35">
      <c r="A90" s="34"/>
      <c r="B90" s="35" t="s">
        <v>129</v>
      </c>
      <c r="C90" s="34"/>
      <c r="D90" s="34"/>
      <c r="E90" s="34"/>
      <c r="F90" s="36"/>
      <c r="G90" s="36"/>
    </row>
    <row r="91" spans="1:7" ht="39" customHeight="1" x14ac:dyDescent="0.35">
      <c r="A91" s="49" t="s">
        <v>88</v>
      </c>
      <c r="B91" s="156" t="s">
        <v>29</v>
      </c>
      <c r="C91" s="157"/>
      <c r="D91" s="157"/>
      <c r="E91" s="157"/>
      <c r="F91" s="157"/>
      <c r="G91" s="157"/>
    </row>
    <row r="92" spans="1:7" x14ac:dyDescent="0.35">
      <c r="A92" s="38" t="s">
        <v>400</v>
      </c>
      <c r="B92" s="39" t="s">
        <v>30</v>
      </c>
      <c r="C92" s="40" t="s">
        <v>11</v>
      </c>
      <c r="D92" s="40" t="s">
        <v>127</v>
      </c>
      <c r="E92" s="40">
        <f>(17.6*3)</f>
        <v>52.800000000000004</v>
      </c>
      <c r="F92" s="41"/>
      <c r="G92" s="41">
        <f>E92*F92</f>
        <v>0</v>
      </c>
    </row>
    <row r="93" spans="1:7" x14ac:dyDescent="0.35">
      <c r="A93" s="119" t="s">
        <v>8</v>
      </c>
      <c r="B93" s="119"/>
      <c r="C93" s="119"/>
      <c r="D93" s="119"/>
      <c r="E93" s="119"/>
      <c r="F93" s="119"/>
      <c r="G93" s="30">
        <f>SUM(G92)</f>
        <v>0</v>
      </c>
    </row>
    <row r="94" spans="1:7" x14ac:dyDescent="0.35">
      <c r="A94" s="34" t="s">
        <v>328</v>
      </c>
      <c r="B94" s="23" t="s">
        <v>322</v>
      </c>
      <c r="C94" s="22"/>
      <c r="D94" s="22"/>
      <c r="E94" s="22"/>
      <c r="F94" s="22"/>
      <c r="G94" s="22"/>
    </row>
    <row r="95" spans="1:7" x14ac:dyDescent="0.35">
      <c r="A95" s="50"/>
      <c r="B95" s="51" t="s">
        <v>314</v>
      </c>
      <c r="C95" s="52"/>
      <c r="D95" s="52"/>
      <c r="E95" s="52"/>
      <c r="F95" s="52"/>
      <c r="G95" s="53"/>
    </row>
    <row r="96" spans="1:7" x14ac:dyDescent="0.35">
      <c r="A96" s="49" t="s">
        <v>88</v>
      </c>
      <c r="B96" s="161" t="s">
        <v>315</v>
      </c>
      <c r="C96" s="161"/>
      <c r="D96" s="161"/>
      <c r="E96" s="161"/>
      <c r="F96" s="161"/>
      <c r="G96" s="162"/>
    </row>
    <row r="97" spans="1:7" x14ac:dyDescent="0.35">
      <c r="A97" s="25" t="s">
        <v>401</v>
      </c>
      <c r="B97" s="26" t="s">
        <v>316</v>
      </c>
      <c r="C97" s="27" t="s">
        <v>11</v>
      </c>
      <c r="D97" s="40" t="s">
        <v>128</v>
      </c>
      <c r="E97" s="40">
        <f>(17.6*3*2)</f>
        <v>105.60000000000001</v>
      </c>
      <c r="F97" s="28"/>
      <c r="G97" s="28">
        <f>E97*F97</f>
        <v>0</v>
      </c>
    </row>
    <row r="98" spans="1:7" x14ac:dyDescent="0.35">
      <c r="A98" s="37"/>
      <c r="B98" s="51" t="s">
        <v>317</v>
      </c>
      <c r="C98" s="27"/>
      <c r="D98" s="27"/>
      <c r="E98" s="27"/>
      <c r="F98" s="28"/>
      <c r="G98" s="28"/>
    </row>
    <row r="99" spans="1:7" x14ac:dyDescent="0.35">
      <c r="A99" s="49" t="s">
        <v>88</v>
      </c>
      <c r="B99" s="143"/>
      <c r="C99" s="143"/>
      <c r="D99" s="143"/>
      <c r="E99" s="143"/>
      <c r="F99" s="143"/>
      <c r="G99" s="144"/>
    </row>
    <row r="100" spans="1:7" x14ac:dyDescent="0.35">
      <c r="A100" s="25" t="s">
        <v>402</v>
      </c>
      <c r="B100" s="26" t="s">
        <v>323</v>
      </c>
      <c r="C100" s="27" t="s">
        <v>11</v>
      </c>
      <c r="D100" s="40" t="s">
        <v>128</v>
      </c>
      <c r="E100" s="40">
        <f>(17.6*3*2)</f>
        <v>105.60000000000001</v>
      </c>
      <c r="F100" s="28"/>
      <c r="G100" s="28">
        <f>E100*F100</f>
        <v>0</v>
      </c>
    </row>
    <row r="101" spans="1:7" x14ac:dyDescent="0.35">
      <c r="A101" s="34"/>
      <c r="B101" s="35" t="s">
        <v>130</v>
      </c>
      <c r="C101" s="34"/>
      <c r="D101" s="34"/>
      <c r="E101" s="34"/>
      <c r="F101" s="36"/>
      <c r="G101" s="36"/>
    </row>
    <row r="102" spans="1:7" ht="49.75" customHeight="1" x14ac:dyDescent="0.35">
      <c r="A102" s="49" t="s">
        <v>88</v>
      </c>
      <c r="B102" s="151" t="s">
        <v>29</v>
      </c>
      <c r="C102" s="152"/>
      <c r="D102" s="152"/>
      <c r="E102" s="152"/>
      <c r="F102" s="152"/>
      <c r="G102" s="152"/>
    </row>
    <row r="103" spans="1:7" x14ac:dyDescent="0.35">
      <c r="A103" s="38" t="s">
        <v>403</v>
      </c>
      <c r="B103" s="39" t="s">
        <v>30</v>
      </c>
      <c r="C103" s="40" t="s">
        <v>11</v>
      </c>
      <c r="D103" s="40" t="s">
        <v>256</v>
      </c>
      <c r="E103" s="40">
        <f>(38*1.2)</f>
        <v>45.6</v>
      </c>
      <c r="F103" s="41"/>
      <c r="G103" s="41">
        <f>E103*F103</f>
        <v>0</v>
      </c>
    </row>
    <row r="104" spans="1:7" x14ac:dyDescent="0.35">
      <c r="A104" s="133" t="s">
        <v>8</v>
      </c>
      <c r="B104" s="134"/>
      <c r="C104" s="134"/>
      <c r="D104" s="134"/>
      <c r="E104" s="134"/>
      <c r="F104" s="135"/>
      <c r="G104" s="30">
        <f>SUM(G97:G103)</f>
        <v>0</v>
      </c>
    </row>
    <row r="105" spans="1:7" ht="18.5" x14ac:dyDescent="0.45">
      <c r="A105" s="54" t="s">
        <v>329</v>
      </c>
      <c r="B105" s="54" t="s">
        <v>321</v>
      </c>
      <c r="C105" s="54"/>
      <c r="D105" s="54"/>
      <c r="E105" s="54"/>
      <c r="F105" s="54"/>
      <c r="G105" s="54"/>
    </row>
    <row r="106" spans="1:7" x14ac:dyDescent="0.35">
      <c r="A106" s="50"/>
      <c r="B106" s="51" t="s">
        <v>314</v>
      </c>
      <c r="C106" s="52"/>
      <c r="D106" s="52"/>
      <c r="E106" s="52"/>
      <c r="F106" s="52"/>
      <c r="G106" s="53"/>
    </row>
    <row r="107" spans="1:7" x14ac:dyDescent="0.35">
      <c r="A107" s="49" t="s">
        <v>88</v>
      </c>
      <c r="B107" s="161" t="s">
        <v>315</v>
      </c>
      <c r="C107" s="161"/>
      <c r="D107" s="161"/>
      <c r="E107" s="161"/>
      <c r="F107" s="161"/>
      <c r="G107" s="162"/>
    </row>
    <row r="108" spans="1:7" x14ac:dyDescent="0.35">
      <c r="A108" s="25" t="s">
        <v>182</v>
      </c>
      <c r="B108" s="26" t="s">
        <v>316</v>
      </c>
      <c r="C108" s="27" t="s">
        <v>11</v>
      </c>
      <c r="D108" s="27" t="s">
        <v>257</v>
      </c>
      <c r="E108" s="27">
        <f>(38*1.2*2)</f>
        <v>91.2</v>
      </c>
      <c r="F108" s="28"/>
      <c r="G108" s="28">
        <f>E108*F108</f>
        <v>0</v>
      </c>
    </row>
    <row r="109" spans="1:7" x14ac:dyDescent="0.35">
      <c r="A109" s="37"/>
      <c r="B109" s="51" t="s">
        <v>317</v>
      </c>
      <c r="C109" s="27"/>
      <c r="D109" s="27"/>
      <c r="E109" s="27"/>
      <c r="F109" s="28"/>
      <c r="G109" s="28"/>
    </row>
    <row r="110" spans="1:7" x14ac:dyDescent="0.35">
      <c r="A110" s="49" t="s">
        <v>88</v>
      </c>
      <c r="B110" s="143"/>
      <c r="C110" s="143"/>
      <c r="D110" s="143"/>
      <c r="E110" s="143"/>
      <c r="F110" s="143"/>
      <c r="G110" s="144"/>
    </row>
    <row r="111" spans="1:7" x14ac:dyDescent="0.35">
      <c r="A111" s="25" t="s">
        <v>183</v>
      </c>
      <c r="B111" s="55" t="s">
        <v>318</v>
      </c>
      <c r="C111" s="27" t="s">
        <v>11</v>
      </c>
      <c r="D111" s="27" t="s">
        <v>257</v>
      </c>
      <c r="E111" s="27">
        <f>(38*1.2*2)</f>
        <v>91.2</v>
      </c>
      <c r="F111" s="28"/>
      <c r="G111" s="28">
        <f>E111*F111</f>
        <v>0</v>
      </c>
    </row>
    <row r="112" spans="1:7" x14ac:dyDescent="0.35">
      <c r="A112" s="119" t="s">
        <v>8</v>
      </c>
      <c r="B112" s="119"/>
      <c r="C112" s="119"/>
      <c r="D112" s="119"/>
      <c r="E112" s="119"/>
      <c r="F112" s="119"/>
      <c r="G112" s="30">
        <f>SUM(G108:G111)</f>
        <v>0</v>
      </c>
    </row>
    <row r="113" spans="1:7" ht="18.5" x14ac:dyDescent="0.45">
      <c r="A113" s="54" t="s">
        <v>330</v>
      </c>
      <c r="B113" s="54" t="s">
        <v>142</v>
      </c>
      <c r="C113" s="54"/>
      <c r="D113" s="54"/>
      <c r="E113" s="54"/>
      <c r="F113" s="54"/>
      <c r="G113" s="54"/>
    </row>
    <row r="114" spans="1:7" x14ac:dyDescent="0.35">
      <c r="A114" s="27"/>
      <c r="B114" s="120" t="s">
        <v>131</v>
      </c>
      <c r="C114" s="121"/>
      <c r="D114" s="121"/>
      <c r="E114" s="121"/>
      <c r="F114" s="121"/>
      <c r="G114" s="122"/>
    </row>
    <row r="115" spans="1:7" ht="26" x14ac:dyDescent="0.35">
      <c r="A115" s="25" t="s">
        <v>404</v>
      </c>
      <c r="B115" s="26" t="s">
        <v>133</v>
      </c>
      <c r="C115" s="27" t="s">
        <v>184</v>
      </c>
      <c r="D115" s="27" t="s">
        <v>143</v>
      </c>
      <c r="E115" s="27">
        <f>4*2.4</f>
        <v>9.6</v>
      </c>
      <c r="F115" s="28"/>
      <c r="G115" s="28">
        <f t="shared" ref="G115:G123" si="3">E115*F115</f>
        <v>0</v>
      </c>
    </row>
    <row r="116" spans="1:7" ht="26" x14ac:dyDescent="0.35">
      <c r="A116" s="25" t="s">
        <v>405</v>
      </c>
      <c r="B116" s="26" t="s">
        <v>134</v>
      </c>
      <c r="C116" s="27" t="s">
        <v>132</v>
      </c>
      <c r="D116" s="27" t="s">
        <v>143</v>
      </c>
      <c r="E116" s="27">
        <f>4*2.4</f>
        <v>9.6</v>
      </c>
      <c r="F116" s="28"/>
      <c r="G116" s="28">
        <f t="shared" si="3"/>
        <v>0</v>
      </c>
    </row>
    <row r="117" spans="1:7" ht="26" x14ac:dyDescent="0.35">
      <c r="A117" s="25" t="s">
        <v>406</v>
      </c>
      <c r="B117" s="26" t="s">
        <v>135</v>
      </c>
      <c r="C117" s="27" t="s">
        <v>132</v>
      </c>
      <c r="D117" s="27">
        <v>6</v>
      </c>
      <c r="E117" s="27">
        <f>4*2.4</f>
        <v>9.6</v>
      </c>
      <c r="F117" s="28"/>
      <c r="G117" s="28">
        <f t="shared" si="3"/>
        <v>0</v>
      </c>
    </row>
    <row r="118" spans="1:7" x14ac:dyDescent="0.35">
      <c r="A118" s="25" t="s">
        <v>407</v>
      </c>
      <c r="B118" s="26" t="s">
        <v>136</v>
      </c>
      <c r="C118" s="27" t="s">
        <v>132</v>
      </c>
      <c r="D118" s="27">
        <v>20</v>
      </c>
      <c r="E118" s="27">
        <v>20</v>
      </c>
      <c r="F118" s="28"/>
      <c r="G118" s="28">
        <f t="shared" si="3"/>
        <v>0</v>
      </c>
    </row>
    <row r="119" spans="1:7" x14ac:dyDescent="0.35">
      <c r="A119" s="25" t="s">
        <v>408</v>
      </c>
      <c r="B119" s="26" t="s">
        <v>137</v>
      </c>
      <c r="C119" s="27" t="s">
        <v>132</v>
      </c>
      <c r="D119" s="27" t="s">
        <v>143</v>
      </c>
      <c r="E119" s="27">
        <f>4*2.4</f>
        <v>9.6</v>
      </c>
      <c r="F119" s="28"/>
      <c r="G119" s="28">
        <f t="shared" si="3"/>
        <v>0</v>
      </c>
    </row>
    <row r="120" spans="1:7" ht="40.25" customHeight="1" x14ac:dyDescent="0.35">
      <c r="A120" s="25" t="s">
        <v>409</v>
      </c>
      <c r="B120" s="26" t="s">
        <v>138</v>
      </c>
      <c r="C120" s="27" t="s">
        <v>132</v>
      </c>
      <c r="D120" s="27">
        <v>4</v>
      </c>
      <c r="E120" s="27">
        <v>4</v>
      </c>
      <c r="F120" s="28"/>
      <c r="G120" s="28">
        <f t="shared" si="3"/>
        <v>0</v>
      </c>
    </row>
    <row r="121" spans="1:7" ht="18.5" x14ac:dyDescent="0.45">
      <c r="A121" s="54" t="s">
        <v>331</v>
      </c>
      <c r="B121" s="54" t="s">
        <v>220</v>
      </c>
      <c r="C121" s="54"/>
      <c r="D121" s="54"/>
      <c r="E121" s="54"/>
      <c r="F121" s="54"/>
      <c r="G121" s="54"/>
    </row>
    <row r="122" spans="1:7" ht="26" x14ac:dyDescent="0.35">
      <c r="A122" s="25"/>
      <c r="B122" s="26" t="s">
        <v>140</v>
      </c>
      <c r="C122" s="27"/>
      <c r="D122" s="27"/>
      <c r="E122" s="27"/>
      <c r="F122" s="28"/>
      <c r="G122" s="28"/>
    </row>
    <row r="123" spans="1:7" ht="26" x14ac:dyDescent="0.35">
      <c r="A123" s="25" t="s">
        <v>164</v>
      </c>
      <c r="B123" s="26" t="s">
        <v>141</v>
      </c>
      <c r="C123" s="27" t="s">
        <v>132</v>
      </c>
      <c r="D123" s="27">
        <v>6</v>
      </c>
      <c r="E123" s="27">
        <v>6</v>
      </c>
      <c r="F123" s="28"/>
      <c r="G123" s="28">
        <f t="shared" si="3"/>
        <v>0</v>
      </c>
    </row>
    <row r="124" spans="1:7" ht="26" x14ac:dyDescent="0.35">
      <c r="A124" s="25" t="s">
        <v>165</v>
      </c>
      <c r="B124" s="26" t="s">
        <v>139</v>
      </c>
      <c r="C124" s="27" t="s">
        <v>43</v>
      </c>
      <c r="D124" s="27">
        <v>10</v>
      </c>
      <c r="E124" s="27">
        <v>10</v>
      </c>
      <c r="F124" s="28"/>
      <c r="G124" s="28">
        <f t="shared" ref="G124:G126" si="4">E124*F124</f>
        <v>0</v>
      </c>
    </row>
    <row r="125" spans="1:7" x14ac:dyDescent="0.35">
      <c r="A125" s="27"/>
      <c r="B125" s="56" t="s">
        <v>251</v>
      </c>
      <c r="C125" s="57"/>
      <c r="D125" s="57"/>
      <c r="E125" s="57"/>
      <c r="F125" s="58"/>
      <c r="G125" s="58"/>
    </row>
    <row r="126" spans="1:7" ht="165.65" customHeight="1" x14ac:dyDescent="0.35">
      <c r="A126" s="25" t="s">
        <v>166</v>
      </c>
      <c r="B126" s="26" t="s">
        <v>319</v>
      </c>
      <c r="C126" s="27" t="s">
        <v>11</v>
      </c>
      <c r="D126" s="27">
        <v>150</v>
      </c>
      <c r="E126" s="27">
        <v>150</v>
      </c>
      <c r="F126" s="28"/>
      <c r="G126" s="28">
        <f t="shared" si="4"/>
        <v>0</v>
      </c>
    </row>
    <row r="127" spans="1:7" x14ac:dyDescent="0.35">
      <c r="A127" s="27"/>
      <c r="B127" s="56" t="s">
        <v>44</v>
      </c>
      <c r="C127" s="57"/>
      <c r="D127" s="57"/>
      <c r="E127" s="57"/>
      <c r="F127" s="58"/>
      <c r="G127" s="58"/>
    </row>
    <row r="128" spans="1:7" x14ac:dyDescent="0.35">
      <c r="A128" s="25" t="s">
        <v>167</v>
      </c>
      <c r="B128" s="26" t="s">
        <v>45</v>
      </c>
      <c r="C128" s="27" t="s">
        <v>43</v>
      </c>
      <c r="D128" s="27">
        <v>6</v>
      </c>
      <c r="E128" s="27">
        <v>6</v>
      </c>
      <c r="F128" s="28"/>
      <c r="G128" s="28">
        <f t="shared" ref="G128:G131" si="5">E128*F128</f>
        <v>0</v>
      </c>
    </row>
    <row r="129" spans="1:7" x14ac:dyDescent="0.35">
      <c r="A129" s="25" t="s">
        <v>168</v>
      </c>
      <c r="B129" s="26" t="s">
        <v>46</v>
      </c>
      <c r="C129" s="27" t="s">
        <v>43</v>
      </c>
      <c r="D129" s="27">
        <v>7</v>
      </c>
      <c r="E129" s="27">
        <v>7</v>
      </c>
      <c r="F129" s="28"/>
      <c r="G129" s="28">
        <f t="shared" si="5"/>
        <v>0</v>
      </c>
    </row>
    <row r="130" spans="1:7" x14ac:dyDescent="0.35">
      <c r="A130" s="25" t="s">
        <v>169</v>
      </c>
      <c r="B130" s="26" t="s">
        <v>47</v>
      </c>
      <c r="C130" s="27" t="s">
        <v>43</v>
      </c>
      <c r="D130" s="27">
        <v>10</v>
      </c>
      <c r="E130" s="27">
        <v>10</v>
      </c>
      <c r="F130" s="28"/>
      <c r="G130" s="28">
        <f t="shared" si="5"/>
        <v>0</v>
      </c>
    </row>
    <row r="131" spans="1:7" x14ac:dyDescent="0.35">
      <c r="A131" s="25" t="s">
        <v>170</v>
      </c>
      <c r="B131" s="26" t="s">
        <v>48</v>
      </c>
      <c r="C131" s="27" t="s">
        <v>43</v>
      </c>
      <c r="D131" s="27">
        <v>10</v>
      </c>
      <c r="E131" s="27">
        <v>10</v>
      </c>
      <c r="F131" s="28"/>
      <c r="G131" s="28">
        <f t="shared" si="5"/>
        <v>0</v>
      </c>
    </row>
    <row r="132" spans="1:7" ht="18.5" x14ac:dyDescent="0.45">
      <c r="A132" s="54" t="s">
        <v>332</v>
      </c>
      <c r="B132" s="54" t="s">
        <v>385</v>
      </c>
      <c r="C132" s="54"/>
      <c r="D132" s="54"/>
      <c r="E132" s="54"/>
      <c r="F132" s="54"/>
      <c r="G132" s="54"/>
    </row>
    <row r="133" spans="1:7" x14ac:dyDescent="0.35">
      <c r="A133" s="27"/>
      <c r="B133" s="56" t="s">
        <v>245</v>
      </c>
      <c r="C133" s="57"/>
      <c r="D133" s="57"/>
      <c r="E133" s="57"/>
      <c r="F133" s="58"/>
      <c r="G133" s="58"/>
    </row>
    <row r="134" spans="1:7" ht="39" x14ac:dyDescent="0.35">
      <c r="A134" s="25" t="s">
        <v>248</v>
      </c>
      <c r="B134" s="26" t="s">
        <v>246</v>
      </c>
      <c r="C134" s="27" t="s">
        <v>7</v>
      </c>
      <c r="D134" s="27" t="s">
        <v>249</v>
      </c>
      <c r="E134" s="27">
        <f>10*15*0.2</f>
        <v>30</v>
      </c>
      <c r="F134" s="28"/>
      <c r="G134" s="28">
        <f>E134*F134</f>
        <v>0</v>
      </c>
    </row>
    <row r="135" spans="1:7" x14ac:dyDescent="0.35">
      <c r="A135" s="27"/>
      <c r="B135" s="56" t="s">
        <v>247</v>
      </c>
      <c r="C135" s="57"/>
      <c r="D135" s="57"/>
      <c r="E135" s="57"/>
      <c r="F135" s="58"/>
      <c r="G135" s="58"/>
    </row>
    <row r="136" spans="1:7" ht="160.25" customHeight="1" x14ac:dyDescent="0.35">
      <c r="A136" s="25" t="s">
        <v>248</v>
      </c>
      <c r="B136" s="26" t="s">
        <v>250</v>
      </c>
      <c r="C136" s="27" t="s">
        <v>11</v>
      </c>
      <c r="D136" s="27" t="s">
        <v>435</v>
      </c>
      <c r="E136" s="27">
        <f>10*10</f>
        <v>100</v>
      </c>
      <c r="F136" s="28"/>
      <c r="G136" s="28">
        <f>E136*F136</f>
        <v>0</v>
      </c>
    </row>
    <row r="137" spans="1:7" ht="31.25" customHeight="1" x14ac:dyDescent="0.35">
      <c r="A137" s="25" t="s">
        <v>384</v>
      </c>
      <c r="B137" s="26" t="s">
        <v>383</v>
      </c>
      <c r="C137" s="27" t="s">
        <v>63</v>
      </c>
      <c r="D137" s="27" t="s">
        <v>63</v>
      </c>
      <c r="E137" s="27">
        <v>1</v>
      </c>
      <c r="F137" s="59"/>
      <c r="G137" s="28">
        <f>E137*F137</f>
        <v>0</v>
      </c>
    </row>
    <row r="138" spans="1:7" x14ac:dyDescent="0.35">
      <c r="A138" s="119" t="s">
        <v>8</v>
      </c>
      <c r="B138" s="119"/>
      <c r="C138" s="119"/>
      <c r="D138" s="119"/>
      <c r="E138" s="119"/>
      <c r="F138" s="119"/>
      <c r="G138" s="30">
        <f>SUM(G115:G137)</f>
        <v>0</v>
      </c>
    </row>
    <row r="139" spans="1:7" ht="15.5" x14ac:dyDescent="0.35">
      <c r="A139" s="153" t="s">
        <v>156</v>
      </c>
      <c r="B139" s="153"/>
      <c r="C139" s="153"/>
      <c r="D139" s="153"/>
      <c r="E139" s="153"/>
      <c r="F139" s="153"/>
      <c r="G139" s="32">
        <f>SUM(G138,G112,G104,G93)</f>
        <v>0</v>
      </c>
    </row>
    <row r="140" spans="1:7" ht="15.5" x14ac:dyDescent="0.35">
      <c r="A140" s="21" t="s">
        <v>333</v>
      </c>
      <c r="B140" s="48" t="s">
        <v>313</v>
      </c>
      <c r="C140" s="21"/>
      <c r="D140" s="21"/>
      <c r="E140" s="21"/>
      <c r="F140" s="21"/>
      <c r="G140" s="21"/>
    </row>
    <row r="141" spans="1:7" x14ac:dyDescent="0.35">
      <c r="A141" s="25"/>
      <c r="B141" s="60" t="s">
        <v>311</v>
      </c>
      <c r="C141" s="27"/>
      <c r="D141" s="27"/>
      <c r="E141" s="27"/>
      <c r="F141" s="28"/>
      <c r="G141" s="28"/>
    </row>
    <row r="142" spans="1:7" ht="63" customHeight="1" x14ac:dyDescent="0.35">
      <c r="A142" s="37"/>
      <c r="B142" s="166" t="s">
        <v>308</v>
      </c>
      <c r="C142" s="167"/>
      <c r="D142" s="167"/>
      <c r="E142" s="167"/>
      <c r="F142" s="167"/>
      <c r="G142" s="168"/>
    </row>
    <row r="143" spans="1:7" x14ac:dyDescent="0.35">
      <c r="A143" s="25" t="s">
        <v>171</v>
      </c>
      <c r="B143" s="61" t="s">
        <v>374</v>
      </c>
      <c r="C143" s="27" t="s">
        <v>11</v>
      </c>
      <c r="D143" s="27" t="s">
        <v>373</v>
      </c>
      <c r="E143" s="27">
        <f>(3*2*1.5)</f>
        <v>9</v>
      </c>
      <c r="F143" s="28"/>
      <c r="G143" s="28">
        <f t="shared" ref="G143:G147" si="6">E143*F143</f>
        <v>0</v>
      </c>
    </row>
    <row r="144" spans="1:7" x14ac:dyDescent="0.35">
      <c r="A144" s="25" t="s">
        <v>172</v>
      </c>
      <c r="B144" s="60" t="s">
        <v>309</v>
      </c>
      <c r="C144" s="27" t="s">
        <v>11</v>
      </c>
      <c r="D144" s="27" t="s">
        <v>375</v>
      </c>
      <c r="E144" s="27">
        <f>0.5*0.6*3</f>
        <v>0.89999999999999991</v>
      </c>
      <c r="F144" s="28"/>
      <c r="G144" s="28">
        <f t="shared" si="6"/>
        <v>0</v>
      </c>
    </row>
    <row r="145" spans="1:7" x14ac:dyDescent="0.35">
      <c r="A145" s="25" t="s">
        <v>173</v>
      </c>
      <c r="B145" s="60" t="s">
        <v>310</v>
      </c>
      <c r="C145" s="27" t="s">
        <v>11</v>
      </c>
      <c r="D145" s="27" t="s">
        <v>147</v>
      </c>
      <c r="E145" s="27">
        <f>(0.8*3*2)</f>
        <v>4.8000000000000007</v>
      </c>
      <c r="F145" s="28"/>
      <c r="G145" s="28">
        <f t="shared" si="6"/>
        <v>0</v>
      </c>
    </row>
    <row r="146" spans="1:7" x14ac:dyDescent="0.35">
      <c r="A146" s="25" t="s">
        <v>372</v>
      </c>
      <c r="B146" s="62" t="s">
        <v>434</v>
      </c>
      <c r="C146" s="27" t="s">
        <v>11</v>
      </c>
      <c r="D146" s="27" t="s">
        <v>433</v>
      </c>
      <c r="E146" s="27">
        <f>1.2*0.9*8</f>
        <v>8.64</v>
      </c>
      <c r="F146" s="28"/>
      <c r="G146" s="28">
        <f t="shared" ref="G146" si="7">E146*F146</f>
        <v>0</v>
      </c>
    </row>
    <row r="147" spans="1:7" ht="73.75" customHeight="1" x14ac:dyDescent="0.35">
      <c r="A147" s="25" t="s">
        <v>376</v>
      </c>
      <c r="B147" s="63" t="s">
        <v>320</v>
      </c>
      <c r="C147" s="27" t="s">
        <v>312</v>
      </c>
      <c r="D147" s="27">
        <v>10</v>
      </c>
      <c r="E147" s="27">
        <v>10</v>
      </c>
      <c r="F147" s="59"/>
      <c r="G147" s="28">
        <f t="shared" si="6"/>
        <v>0</v>
      </c>
    </row>
    <row r="148" spans="1:7" x14ac:dyDescent="0.35">
      <c r="A148" s="119" t="s">
        <v>8</v>
      </c>
      <c r="B148" s="119"/>
      <c r="C148" s="119"/>
      <c r="D148" s="119"/>
      <c r="E148" s="119"/>
      <c r="F148" s="119"/>
      <c r="G148" s="30">
        <f>SUM(G143:G147)</f>
        <v>0</v>
      </c>
    </row>
    <row r="149" spans="1:7" x14ac:dyDescent="0.35">
      <c r="A149" s="22" t="s">
        <v>334</v>
      </c>
      <c r="B149" s="23" t="s">
        <v>41</v>
      </c>
      <c r="C149" s="22"/>
      <c r="D149" s="22"/>
      <c r="E149" s="22"/>
      <c r="F149" s="22"/>
      <c r="G149" s="22"/>
    </row>
    <row r="150" spans="1:7" x14ac:dyDescent="0.35">
      <c r="A150" s="37"/>
      <c r="B150" s="123" t="s">
        <v>42</v>
      </c>
      <c r="C150" s="124"/>
      <c r="D150" s="124"/>
      <c r="E150" s="124"/>
      <c r="F150" s="124"/>
      <c r="G150" s="125"/>
    </row>
    <row r="151" spans="1:7" x14ac:dyDescent="0.35">
      <c r="A151" s="25" t="s">
        <v>176</v>
      </c>
      <c r="B151" s="26" t="s">
        <v>369</v>
      </c>
      <c r="C151" s="27" t="s">
        <v>43</v>
      </c>
      <c r="D151" s="27" t="s">
        <v>370</v>
      </c>
      <c r="E151" s="27">
        <f>2.4*3.2*1</f>
        <v>7.68</v>
      </c>
      <c r="F151" s="28"/>
      <c r="G151" s="28">
        <f>E151*F151</f>
        <v>0</v>
      </c>
    </row>
    <row r="152" spans="1:7" x14ac:dyDescent="0.35">
      <c r="A152" s="25" t="s">
        <v>174</v>
      </c>
      <c r="B152" s="26" t="s">
        <v>254</v>
      </c>
      <c r="C152" s="27" t="s">
        <v>43</v>
      </c>
      <c r="D152" s="27" t="s">
        <v>371</v>
      </c>
      <c r="E152" s="27">
        <f>1.1*2.2*1</f>
        <v>2.4200000000000004</v>
      </c>
      <c r="F152" s="28"/>
      <c r="G152" s="28">
        <f>E152*F152</f>
        <v>0</v>
      </c>
    </row>
    <row r="153" spans="1:7" x14ac:dyDescent="0.35">
      <c r="A153" s="37"/>
      <c r="B153" s="163" t="s">
        <v>255</v>
      </c>
      <c r="C153" s="164"/>
      <c r="D153" s="164"/>
      <c r="E153" s="164"/>
      <c r="F153" s="164"/>
      <c r="G153" s="165"/>
    </row>
    <row r="154" spans="1:7" x14ac:dyDescent="0.35">
      <c r="A154" s="25" t="s">
        <v>175</v>
      </c>
      <c r="B154" s="26" t="s">
        <v>431</v>
      </c>
      <c r="C154" s="27" t="s">
        <v>43</v>
      </c>
      <c r="D154" s="27" t="s">
        <v>432</v>
      </c>
      <c r="E154" s="27">
        <f>0.9*2.2*4</f>
        <v>7.9200000000000008</v>
      </c>
      <c r="F154" s="28"/>
      <c r="G154" s="28">
        <f t="shared" ref="G154:G155" si="8">E154*F154</f>
        <v>0</v>
      </c>
    </row>
    <row r="155" spans="1:7" x14ac:dyDescent="0.35">
      <c r="A155" s="25" t="s">
        <v>176</v>
      </c>
      <c r="B155" s="26" t="s">
        <v>148</v>
      </c>
      <c r="C155" s="27" t="s">
        <v>43</v>
      </c>
      <c r="D155" s="27" t="s">
        <v>436</v>
      </c>
      <c r="E155" s="27">
        <f>1.2*2.2*2</f>
        <v>5.28</v>
      </c>
      <c r="F155" s="28"/>
      <c r="G155" s="28">
        <f t="shared" si="8"/>
        <v>0</v>
      </c>
    </row>
    <row r="156" spans="1:7" x14ac:dyDescent="0.35">
      <c r="A156" s="119" t="s">
        <v>8</v>
      </c>
      <c r="B156" s="119"/>
      <c r="C156" s="119"/>
      <c r="D156" s="119"/>
      <c r="E156" s="119"/>
      <c r="F156" s="119"/>
      <c r="G156" s="30">
        <f>SUM(G151:G155)</f>
        <v>0</v>
      </c>
    </row>
    <row r="157" spans="1:7" x14ac:dyDescent="0.35">
      <c r="A157" s="126" t="s">
        <v>157</v>
      </c>
      <c r="B157" s="126"/>
      <c r="C157" s="126"/>
      <c r="D157" s="126"/>
      <c r="E157" s="126"/>
      <c r="F157" s="126"/>
      <c r="G157" s="32">
        <f>SUM(G156,G148)</f>
        <v>0</v>
      </c>
    </row>
    <row r="158" spans="1:7" ht="15.5" x14ac:dyDescent="0.35">
      <c r="A158" s="21" t="s">
        <v>335</v>
      </c>
      <c r="B158" s="48" t="s">
        <v>49</v>
      </c>
      <c r="C158" s="21"/>
      <c r="D158" s="21"/>
      <c r="E158" s="21"/>
      <c r="F158" s="21"/>
      <c r="G158" s="21"/>
    </row>
    <row r="159" spans="1:7" x14ac:dyDescent="0.35">
      <c r="A159" s="64"/>
      <c r="B159" s="64" t="s">
        <v>177</v>
      </c>
      <c r="C159" s="64"/>
      <c r="D159" s="64"/>
      <c r="E159" s="64"/>
      <c r="F159" s="64"/>
      <c r="G159" s="64"/>
    </row>
    <row r="160" spans="1:7" ht="51" customHeight="1" x14ac:dyDescent="0.35">
      <c r="A160" s="27"/>
      <c r="B160" s="158" t="s">
        <v>56</v>
      </c>
      <c r="C160" s="159"/>
      <c r="D160" s="159"/>
      <c r="E160" s="159"/>
      <c r="F160" s="159"/>
      <c r="G160" s="160"/>
    </row>
    <row r="161" spans="1:7" ht="26" x14ac:dyDescent="0.35">
      <c r="A161" s="25" t="s">
        <v>350</v>
      </c>
      <c r="B161" s="26" t="s">
        <v>50</v>
      </c>
      <c r="C161" s="27" t="s">
        <v>43</v>
      </c>
      <c r="D161" s="27">
        <v>10</v>
      </c>
      <c r="E161" s="27">
        <v>10</v>
      </c>
      <c r="F161" s="28"/>
      <c r="G161" s="28">
        <f t="shared" ref="G161:G162" si="9">E161*F161</f>
        <v>0</v>
      </c>
    </row>
    <row r="162" spans="1:7" ht="26" x14ac:dyDescent="0.35">
      <c r="A162" s="25" t="s">
        <v>351</v>
      </c>
      <c r="B162" s="26" t="s">
        <v>51</v>
      </c>
      <c r="C162" s="27" t="s">
        <v>43</v>
      </c>
      <c r="D162" s="27">
        <v>12</v>
      </c>
      <c r="E162" s="27">
        <v>12</v>
      </c>
      <c r="F162" s="28"/>
      <c r="G162" s="28">
        <f t="shared" si="9"/>
        <v>0</v>
      </c>
    </row>
    <row r="163" spans="1:7" x14ac:dyDescent="0.35">
      <c r="A163" s="25"/>
      <c r="B163" s="65" t="s">
        <v>52</v>
      </c>
      <c r="C163" s="27"/>
      <c r="D163" s="27"/>
      <c r="E163" s="27"/>
      <c r="F163" s="28"/>
      <c r="G163" s="28"/>
    </row>
    <row r="164" spans="1:7" x14ac:dyDescent="0.35">
      <c r="A164" s="25" t="s">
        <v>352</v>
      </c>
      <c r="B164" s="26" t="s">
        <v>53</v>
      </c>
      <c r="C164" s="27" t="s">
        <v>43</v>
      </c>
      <c r="D164" s="27">
        <v>12</v>
      </c>
      <c r="E164" s="27">
        <v>12</v>
      </c>
      <c r="F164" s="28"/>
      <c r="G164" s="28">
        <f t="shared" ref="G164:G165" si="10">E164*F164</f>
        <v>0</v>
      </c>
    </row>
    <row r="165" spans="1:7" x14ac:dyDescent="0.35">
      <c r="A165" s="25" t="s">
        <v>353</v>
      </c>
      <c r="B165" s="26" t="s">
        <v>54</v>
      </c>
      <c r="C165" s="27" t="s">
        <v>43</v>
      </c>
      <c r="D165" s="27">
        <v>2</v>
      </c>
      <c r="E165" s="27">
        <v>2</v>
      </c>
      <c r="F165" s="28"/>
      <c r="G165" s="28">
        <f t="shared" si="10"/>
        <v>0</v>
      </c>
    </row>
    <row r="166" spans="1:7" x14ac:dyDescent="0.35">
      <c r="A166" s="25"/>
      <c r="B166" s="65" t="s">
        <v>55</v>
      </c>
      <c r="C166" s="27"/>
      <c r="D166" s="27"/>
      <c r="E166" s="27"/>
      <c r="F166" s="28"/>
      <c r="G166" s="28"/>
    </row>
    <row r="167" spans="1:7" x14ac:dyDescent="0.35">
      <c r="A167" s="25" t="s">
        <v>354</v>
      </c>
      <c r="B167" s="26" t="s">
        <v>57</v>
      </c>
      <c r="C167" s="27" t="s">
        <v>43</v>
      </c>
      <c r="D167" s="27">
        <v>12</v>
      </c>
      <c r="E167" s="27">
        <v>12</v>
      </c>
      <c r="F167" s="28"/>
      <c r="G167" s="28">
        <f t="shared" ref="G167" si="11">E167*F167</f>
        <v>0</v>
      </c>
    </row>
    <row r="168" spans="1:7" x14ac:dyDescent="0.35">
      <c r="A168" s="119" t="s">
        <v>8</v>
      </c>
      <c r="B168" s="119"/>
      <c r="C168" s="119"/>
      <c r="D168" s="119"/>
      <c r="E168" s="119"/>
      <c r="F168" s="119"/>
      <c r="G168" s="30">
        <f>SUM(G161:G167)</f>
        <v>0</v>
      </c>
    </row>
    <row r="169" spans="1:7" x14ac:dyDescent="0.35">
      <c r="A169" s="64"/>
      <c r="B169" s="64" t="s">
        <v>58</v>
      </c>
      <c r="C169" s="64"/>
      <c r="D169" s="64"/>
      <c r="E169" s="64"/>
      <c r="F169" s="64"/>
      <c r="G169" s="64"/>
    </row>
    <row r="170" spans="1:7" ht="43.25" customHeight="1" x14ac:dyDescent="0.35">
      <c r="A170" s="27"/>
      <c r="B170" s="148" t="s">
        <v>59</v>
      </c>
      <c r="C170" s="149"/>
      <c r="D170" s="149"/>
      <c r="E170" s="149"/>
      <c r="F170" s="149"/>
      <c r="G170" s="150"/>
    </row>
    <row r="171" spans="1:7" ht="52" x14ac:dyDescent="0.35">
      <c r="A171" s="25" t="s">
        <v>178</v>
      </c>
      <c r="B171" s="26" t="s">
        <v>60</v>
      </c>
      <c r="C171" s="27" t="s">
        <v>61</v>
      </c>
      <c r="D171" s="27">
        <v>50</v>
      </c>
      <c r="E171" s="27">
        <v>50</v>
      </c>
      <c r="F171" s="28"/>
      <c r="G171" s="28">
        <f t="shared" ref="G171:G173" si="12">E171*F171</f>
        <v>0</v>
      </c>
    </row>
    <row r="172" spans="1:7" ht="52" x14ac:dyDescent="0.35">
      <c r="A172" s="25" t="s">
        <v>179</v>
      </c>
      <c r="B172" s="26" t="s">
        <v>125</v>
      </c>
      <c r="C172" s="27" t="s">
        <v>43</v>
      </c>
      <c r="D172" s="27">
        <v>1</v>
      </c>
      <c r="E172" s="27">
        <v>1</v>
      </c>
      <c r="F172" s="28"/>
      <c r="G172" s="28">
        <f t="shared" si="12"/>
        <v>0</v>
      </c>
    </row>
    <row r="173" spans="1:7" ht="26" x14ac:dyDescent="0.35">
      <c r="A173" s="25" t="s">
        <v>180</v>
      </c>
      <c r="B173" s="26" t="s">
        <v>62</v>
      </c>
      <c r="C173" s="27" t="s">
        <v>63</v>
      </c>
      <c r="D173" s="27">
        <v>1</v>
      </c>
      <c r="E173" s="27">
        <v>1</v>
      </c>
      <c r="F173" s="28"/>
      <c r="G173" s="28">
        <f t="shared" si="12"/>
        <v>0</v>
      </c>
    </row>
    <row r="174" spans="1:7" ht="39" x14ac:dyDescent="0.35">
      <c r="A174" s="25"/>
      <c r="B174" s="65" t="s">
        <v>64</v>
      </c>
      <c r="C174" s="27"/>
      <c r="D174" s="27"/>
      <c r="E174" s="27"/>
      <c r="F174" s="28"/>
      <c r="G174" s="28"/>
    </row>
    <row r="175" spans="1:7" ht="26" x14ac:dyDescent="0.35">
      <c r="A175" s="25" t="s">
        <v>181</v>
      </c>
      <c r="B175" s="26" t="s">
        <v>65</v>
      </c>
      <c r="C175" s="27" t="s">
        <v>43</v>
      </c>
      <c r="D175" s="27">
        <v>4</v>
      </c>
      <c r="E175" s="27">
        <v>4</v>
      </c>
      <c r="F175" s="28"/>
      <c r="G175" s="28">
        <f t="shared" ref="G175" si="13">E175*F175</f>
        <v>0</v>
      </c>
    </row>
    <row r="176" spans="1:7" x14ac:dyDescent="0.35">
      <c r="A176" s="119" t="s">
        <v>8</v>
      </c>
      <c r="B176" s="119"/>
      <c r="C176" s="119"/>
      <c r="D176" s="119"/>
      <c r="E176" s="119"/>
      <c r="F176" s="119"/>
      <c r="G176" s="30">
        <f>SUM(G171:G175)</f>
        <v>0</v>
      </c>
    </row>
    <row r="177" spans="1:7" ht="15.5" x14ac:dyDescent="0.35">
      <c r="A177" s="153" t="s">
        <v>158</v>
      </c>
      <c r="B177" s="153"/>
      <c r="C177" s="153"/>
      <c r="D177" s="153"/>
      <c r="E177" s="153"/>
      <c r="F177" s="153"/>
      <c r="G177" s="32">
        <f>SUM(G176,G168)</f>
        <v>0</v>
      </c>
    </row>
    <row r="178" spans="1:7" ht="15.5" x14ac:dyDescent="0.35">
      <c r="A178" s="21" t="s">
        <v>336</v>
      </c>
      <c r="B178" s="48" t="s">
        <v>66</v>
      </c>
      <c r="C178" s="21"/>
      <c r="D178" s="21"/>
      <c r="E178" s="21"/>
      <c r="F178" s="21"/>
      <c r="G178" s="21"/>
    </row>
    <row r="179" spans="1:7" ht="15.5" x14ac:dyDescent="0.35">
      <c r="A179" s="21"/>
      <c r="B179" s="23" t="s">
        <v>67</v>
      </c>
      <c r="C179" s="22"/>
      <c r="D179" s="22"/>
      <c r="E179" s="22"/>
      <c r="F179" s="22"/>
      <c r="G179" s="22"/>
    </row>
    <row r="180" spans="1:7" x14ac:dyDescent="0.35">
      <c r="A180" s="37"/>
      <c r="B180" s="127" t="s">
        <v>68</v>
      </c>
      <c r="C180" s="128"/>
      <c r="D180" s="128"/>
      <c r="E180" s="128"/>
      <c r="F180" s="128"/>
      <c r="G180" s="129"/>
    </row>
    <row r="181" spans="1:7" ht="26" x14ac:dyDescent="0.35">
      <c r="A181" s="25" t="s">
        <v>341</v>
      </c>
      <c r="B181" s="26" t="s">
        <v>69</v>
      </c>
      <c r="C181" s="27" t="s">
        <v>63</v>
      </c>
      <c r="D181" s="27">
        <v>1</v>
      </c>
      <c r="E181" s="27">
        <v>1</v>
      </c>
      <c r="F181" s="28"/>
      <c r="G181" s="28">
        <f t="shared" ref="G181" si="14">E181*F181</f>
        <v>0</v>
      </c>
    </row>
    <row r="182" spans="1:7" x14ac:dyDescent="0.35">
      <c r="A182" s="119" t="s">
        <v>8</v>
      </c>
      <c r="B182" s="119"/>
      <c r="C182" s="119"/>
      <c r="D182" s="119"/>
      <c r="E182" s="119"/>
      <c r="F182" s="119"/>
      <c r="G182" s="30">
        <f>SUM(G181)</f>
        <v>0</v>
      </c>
    </row>
    <row r="183" spans="1:7" x14ac:dyDescent="0.35">
      <c r="A183" s="22"/>
      <c r="B183" s="23" t="s">
        <v>70</v>
      </c>
      <c r="C183" s="22"/>
      <c r="D183" s="22"/>
      <c r="E183" s="22"/>
      <c r="F183" s="22"/>
      <c r="G183" s="22"/>
    </row>
    <row r="184" spans="1:7" ht="55.25" customHeight="1" x14ac:dyDescent="0.35">
      <c r="A184" s="37"/>
      <c r="B184" s="169" t="s">
        <v>71</v>
      </c>
      <c r="C184" s="170"/>
      <c r="D184" s="170"/>
      <c r="E184" s="170"/>
      <c r="F184" s="170"/>
      <c r="G184" s="171"/>
    </row>
    <row r="185" spans="1:7" ht="78" x14ac:dyDescent="0.35">
      <c r="A185" s="25" t="s">
        <v>342</v>
      </c>
      <c r="B185" s="26" t="s">
        <v>72</v>
      </c>
      <c r="C185" s="27" t="s">
        <v>73</v>
      </c>
      <c r="D185" s="27">
        <v>2</v>
      </c>
      <c r="E185" s="27">
        <v>2</v>
      </c>
      <c r="F185" s="28"/>
      <c r="G185" s="28">
        <f t="shared" ref="G185:G192" si="15">E185*F185</f>
        <v>0</v>
      </c>
    </row>
    <row r="186" spans="1:7" ht="78" x14ac:dyDescent="0.35">
      <c r="A186" s="25" t="s">
        <v>343</v>
      </c>
      <c r="B186" s="26" t="s">
        <v>74</v>
      </c>
      <c r="C186" s="27" t="s">
        <v>73</v>
      </c>
      <c r="D186" s="27">
        <v>2</v>
      </c>
      <c r="E186" s="27">
        <v>2</v>
      </c>
      <c r="F186" s="28"/>
      <c r="G186" s="28">
        <f t="shared" si="15"/>
        <v>0</v>
      </c>
    </row>
    <row r="187" spans="1:7" ht="39" x14ac:dyDescent="0.35">
      <c r="A187" s="25" t="s">
        <v>344</v>
      </c>
      <c r="B187" s="26" t="s">
        <v>75</v>
      </c>
      <c r="C187" s="27" t="s">
        <v>73</v>
      </c>
      <c r="D187" s="27">
        <v>2</v>
      </c>
      <c r="E187" s="27">
        <v>2</v>
      </c>
      <c r="F187" s="28"/>
      <c r="G187" s="28">
        <f t="shared" si="15"/>
        <v>0</v>
      </c>
    </row>
    <row r="188" spans="1:7" ht="39" x14ac:dyDescent="0.35">
      <c r="A188" s="25" t="s">
        <v>345</v>
      </c>
      <c r="B188" s="26" t="s">
        <v>76</v>
      </c>
      <c r="C188" s="27" t="s">
        <v>73</v>
      </c>
      <c r="D188" s="27">
        <v>2</v>
      </c>
      <c r="E188" s="27">
        <v>2</v>
      </c>
      <c r="F188" s="28"/>
      <c r="G188" s="28">
        <f t="shared" si="15"/>
        <v>0</v>
      </c>
    </row>
    <row r="189" spans="1:7" ht="39" x14ac:dyDescent="0.35">
      <c r="A189" s="25" t="s">
        <v>346</v>
      </c>
      <c r="B189" s="26" t="s">
        <v>77</v>
      </c>
      <c r="C189" s="27" t="s">
        <v>73</v>
      </c>
      <c r="D189" s="27">
        <v>2</v>
      </c>
      <c r="E189" s="27">
        <v>2</v>
      </c>
      <c r="F189" s="28"/>
      <c r="G189" s="28">
        <f t="shared" si="15"/>
        <v>0</v>
      </c>
    </row>
    <row r="190" spans="1:7" x14ac:dyDescent="0.35">
      <c r="A190" s="25" t="s">
        <v>347</v>
      </c>
      <c r="B190" s="26" t="s">
        <v>78</v>
      </c>
      <c r="C190" s="27" t="s">
        <v>73</v>
      </c>
      <c r="D190" s="27">
        <v>2</v>
      </c>
      <c r="E190" s="27">
        <v>2</v>
      </c>
      <c r="F190" s="28"/>
      <c r="G190" s="28">
        <f t="shared" si="15"/>
        <v>0</v>
      </c>
    </row>
    <row r="191" spans="1:7" x14ac:dyDescent="0.35">
      <c r="A191" s="25" t="s">
        <v>348</v>
      </c>
      <c r="B191" s="26" t="s">
        <v>79</v>
      </c>
      <c r="C191" s="27" t="s">
        <v>73</v>
      </c>
      <c r="D191" s="27">
        <v>2</v>
      </c>
      <c r="E191" s="27">
        <v>2</v>
      </c>
      <c r="F191" s="28"/>
      <c r="G191" s="28">
        <f t="shared" si="15"/>
        <v>0</v>
      </c>
    </row>
    <row r="192" spans="1:7" ht="39" x14ac:dyDescent="0.35">
      <c r="A192" s="25" t="s">
        <v>349</v>
      </c>
      <c r="B192" s="26" t="s">
        <v>80</v>
      </c>
      <c r="C192" s="27" t="s">
        <v>63</v>
      </c>
      <c r="D192" s="27">
        <v>1</v>
      </c>
      <c r="E192" s="27">
        <v>1</v>
      </c>
      <c r="F192" s="28"/>
      <c r="G192" s="28">
        <f t="shared" si="15"/>
        <v>0</v>
      </c>
    </row>
    <row r="193" spans="1:7" s="66" customFormat="1" ht="15.5" x14ac:dyDescent="0.35">
      <c r="A193" s="22" t="s">
        <v>337</v>
      </c>
      <c r="B193" s="145" t="s">
        <v>146</v>
      </c>
      <c r="C193" s="145"/>
      <c r="D193" s="145"/>
      <c r="E193" s="145"/>
      <c r="F193" s="22"/>
      <c r="G193" s="22"/>
    </row>
    <row r="194" spans="1:7" s="66" customFormat="1" ht="52" x14ac:dyDescent="0.35">
      <c r="A194" s="25" t="s">
        <v>338</v>
      </c>
      <c r="B194" s="26" t="s">
        <v>144</v>
      </c>
      <c r="C194" s="27" t="s">
        <v>145</v>
      </c>
      <c r="D194" s="27">
        <v>1</v>
      </c>
      <c r="E194" s="27">
        <v>1</v>
      </c>
      <c r="F194" s="28"/>
      <c r="G194" s="28">
        <f>D194*F194</f>
        <v>0</v>
      </c>
    </row>
    <row r="195" spans="1:7" s="66" customFormat="1" ht="78" x14ac:dyDescent="0.35">
      <c r="A195" s="25" t="s">
        <v>339</v>
      </c>
      <c r="B195" s="26" t="s">
        <v>81</v>
      </c>
      <c r="C195" s="27" t="s">
        <v>82</v>
      </c>
      <c r="D195" s="27">
        <v>2</v>
      </c>
      <c r="E195" s="27">
        <v>2</v>
      </c>
      <c r="F195" s="28"/>
      <c r="G195" s="28">
        <f>E195*F195</f>
        <v>0</v>
      </c>
    </row>
    <row r="196" spans="1:7" s="66" customFormat="1" ht="65" x14ac:dyDescent="0.35">
      <c r="A196" s="25" t="s">
        <v>340</v>
      </c>
      <c r="B196" s="26" t="s">
        <v>83</v>
      </c>
      <c r="C196" s="27" t="s">
        <v>82</v>
      </c>
      <c r="D196" s="27">
        <v>2</v>
      </c>
      <c r="E196" s="27">
        <v>2</v>
      </c>
      <c r="F196" s="28"/>
      <c r="G196" s="28">
        <f>E196*F196</f>
        <v>0</v>
      </c>
    </row>
    <row r="197" spans="1:7" s="66" customFormat="1" ht="26" x14ac:dyDescent="0.35">
      <c r="A197" s="25" t="s">
        <v>387</v>
      </c>
      <c r="B197" s="67" t="s">
        <v>386</v>
      </c>
      <c r="C197" s="68" t="s">
        <v>82</v>
      </c>
      <c r="D197" s="68">
        <v>2</v>
      </c>
      <c r="E197" s="68">
        <v>2</v>
      </c>
      <c r="F197" s="69"/>
      <c r="G197" s="70">
        <f t="shared" ref="G197" si="16">E197*F197</f>
        <v>0</v>
      </c>
    </row>
    <row r="198" spans="1:7" x14ac:dyDescent="0.35">
      <c r="A198" s="119" t="s">
        <v>8</v>
      </c>
      <c r="B198" s="119"/>
      <c r="C198" s="119"/>
      <c r="D198" s="119"/>
      <c r="E198" s="119"/>
      <c r="F198" s="119"/>
      <c r="G198" s="30">
        <f>SUM(G185:G197)</f>
        <v>0</v>
      </c>
    </row>
    <row r="199" spans="1:7" x14ac:dyDescent="0.35">
      <c r="A199" s="146" t="s">
        <v>159</v>
      </c>
      <c r="B199" s="146"/>
      <c r="C199" s="146"/>
      <c r="D199" s="146"/>
      <c r="E199" s="146"/>
      <c r="F199" s="147"/>
      <c r="G199" s="71">
        <f>SUM(G198,G182)</f>
        <v>0</v>
      </c>
    </row>
    <row r="202" spans="1:7" ht="18.5" x14ac:dyDescent="0.35">
      <c r="A202" s="72" t="s">
        <v>149</v>
      </c>
      <c r="B202" s="73" t="s">
        <v>1</v>
      </c>
      <c r="C202" s="74" t="s">
        <v>6</v>
      </c>
    </row>
    <row r="203" spans="1:7" x14ac:dyDescent="0.35">
      <c r="A203" s="75" t="s">
        <v>221</v>
      </c>
      <c r="B203" s="76" t="s">
        <v>154</v>
      </c>
      <c r="C203" s="77">
        <f>G44</f>
        <v>0</v>
      </c>
    </row>
    <row r="204" spans="1:7" x14ac:dyDescent="0.35">
      <c r="A204" s="78" t="s">
        <v>117</v>
      </c>
      <c r="B204" s="79" t="s">
        <v>155</v>
      </c>
      <c r="C204" s="80">
        <f>G87</f>
        <v>0</v>
      </c>
    </row>
    <row r="205" spans="1:7" x14ac:dyDescent="0.35">
      <c r="A205" s="78" t="s">
        <v>150</v>
      </c>
      <c r="B205" s="79" t="s">
        <v>156</v>
      </c>
      <c r="C205" s="80">
        <f>G139</f>
        <v>0</v>
      </c>
    </row>
    <row r="206" spans="1:7" x14ac:dyDescent="0.35">
      <c r="A206" s="78" t="s">
        <v>151</v>
      </c>
      <c r="B206" s="79" t="s">
        <v>157</v>
      </c>
      <c r="C206" s="80">
        <f>G157</f>
        <v>0</v>
      </c>
    </row>
    <row r="207" spans="1:7" x14ac:dyDescent="0.35">
      <c r="A207" s="78" t="s">
        <v>152</v>
      </c>
      <c r="B207" s="79" t="s">
        <v>158</v>
      </c>
      <c r="C207" s="80">
        <f>G177</f>
        <v>0</v>
      </c>
    </row>
    <row r="208" spans="1:7" x14ac:dyDescent="0.35">
      <c r="A208" s="78" t="s">
        <v>153</v>
      </c>
      <c r="B208" s="79" t="s">
        <v>159</v>
      </c>
      <c r="C208" s="80">
        <f>G199</f>
        <v>0</v>
      </c>
    </row>
    <row r="209" spans="1:3" x14ac:dyDescent="0.35">
      <c r="A209" s="154" t="s">
        <v>84</v>
      </c>
      <c r="B209" s="155"/>
      <c r="C209" s="81">
        <f>SUM(C203:C208)</f>
        <v>0</v>
      </c>
    </row>
  </sheetData>
  <mergeCells count="52">
    <mergeCell ref="A27:F27"/>
    <mergeCell ref="A209:B209"/>
    <mergeCell ref="B91:G91"/>
    <mergeCell ref="B47:G47"/>
    <mergeCell ref="A67:F67"/>
    <mergeCell ref="B65:G65"/>
    <mergeCell ref="A55:F55"/>
    <mergeCell ref="A62:F62"/>
    <mergeCell ref="A93:F93"/>
    <mergeCell ref="A168:F168"/>
    <mergeCell ref="B160:G160"/>
    <mergeCell ref="A87:F87"/>
    <mergeCell ref="A86:F86"/>
    <mergeCell ref="A112:F112"/>
    <mergeCell ref="B96:G96"/>
    <mergeCell ref="A138:F138"/>
    <mergeCell ref="B153:G153"/>
    <mergeCell ref="A182:F182"/>
    <mergeCell ref="B99:G99"/>
    <mergeCell ref="B193:E193"/>
    <mergeCell ref="A198:F198"/>
    <mergeCell ref="A199:F199"/>
    <mergeCell ref="B170:G170"/>
    <mergeCell ref="B102:G102"/>
    <mergeCell ref="A139:F139"/>
    <mergeCell ref="A177:F177"/>
    <mergeCell ref="B142:G142"/>
    <mergeCell ref="B110:G110"/>
    <mergeCell ref="B107:G107"/>
    <mergeCell ref="B184:G184"/>
    <mergeCell ref="B180:G180"/>
    <mergeCell ref="B5:G5"/>
    <mergeCell ref="A104:F104"/>
    <mergeCell ref="B3:G3"/>
    <mergeCell ref="A10:F10"/>
    <mergeCell ref="B12:G12"/>
    <mergeCell ref="A75:F75"/>
    <mergeCell ref="B22:G22"/>
    <mergeCell ref="A43:F43"/>
    <mergeCell ref="A38:F38"/>
    <mergeCell ref="A33:F33"/>
    <mergeCell ref="B29:G29"/>
    <mergeCell ref="B45:G45"/>
    <mergeCell ref="A44:F44"/>
    <mergeCell ref="B17:G17"/>
    <mergeCell ref="B77:G77"/>
    <mergeCell ref="A176:F176"/>
    <mergeCell ref="B114:G114"/>
    <mergeCell ref="A156:F156"/>
    <mergeCell ref="B150:G150"/>
    <mergeCell ref="A148:F148"/>
    <mergeCell ref="A157:F157"/>
  </mergeCells>
  <pageMargins left="0.70866141732283472" right="0.70866141732283472" top="0.74803149606299213" bottom="0.74803149606299213" header="0.31496062992125984" footer="0.31496062992125984"/>
  <pageSetup paperSize="8" fitToHeight="0" orientation="landscape"/>
  <headerFooter>
    <oddHeader>&amp;L&amp;"-,Bold Italic"&amp;8PROJECT NAME:
EXTENSION AND REHABILITATION OF KARAN DISTRICT CENTRE&amp;R&amp;"-,Bold Italic"&amp;9Sheet Name:
&amp;A</oddHeader>
    <oddFooter>&amp;L&amp;"-,Bold"&amp;9&amp;UBRA/JPLG/2022&amp;R&amp;"-,Bold"&amp;9&amp;UPage:-&amp;P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28" zoomScale="66" workbookViewId="0">
      <selection activeCell="F45" sqref="F45"/>
    </sheetView>
  </sheetViews>
  <sheetFormatPr defaultColWidth="28.4140625" defaultRowHeight="13" x14ac:dyDescent="0.3"/>
  <cols>
    <col min="1" max="1" width="15.4140625" style="2" customWidth="1"/>
    <col min="2" max="2" width="59.5" style="2" customWidth="1"/>
    <col min="3" max="3" width="10.4140625" style="2" customWidth="1"/>
    <col min="4" max="4" width="15.33203125" style="2" customWidth="1"/>
    <col min="5" max="6" width="10.4140625" style="2" customWidth="1"/>
    <col min="7" max="7" width="16" style="2" customWidth="1"/>
    <col min="8" max="16384" width="28.4140625" style="2"/>
  </cols>
  <sheetData>
    <row r="1" spans="1:7" x14ac:dyDescent="0.3">
      <c r="A1" s="2" t="s">
        <v>195</v>
      </c>
      <c r="B1" s="2" t="s">
        <v>203</v>
      </c>
    </row>
    <row r="2" spans="1:7" x14ac:dyDescent="0.3">
      <c r="A2" s="18"/>
      <c r="B2" s="19" t="s">
        <v>1</v>
      </c>
      <c r="C2" s="18" t="s">
        <v>2</v>
      </c>
      <c r="D2" s="18" t="s">
        <v>3</v>
      </c>
      <c r="E2" s="18" t="s">
        <v>4</v>
      </c>
      <c r="F2" s="20" t="s">
        <v>5</v>
      </c>
      <c r="G2" s="20" t="s">
        <v>6</v>
      </c>
    </row>
    <row r="3" spans="1:7" x14ac:dyDescent="0.3">
      <c r="A3" s="82" t="s">
        <v>261</v>
      </c>
      <c r="B3" s="83" t="s">
        <v>198</v>
      </c>
      <c r="C3" s="84"/>
      <c r="D3" s="84"/>
      <c r="E3" s="85"/>
      <c r="F3" s="86"/>
      <c r="G3" s="87"/>
    </row>
    <row r="4" spans="1:7" x14ac:dyDescent="0.3">
      <c r="A4" s="88" t="s">
        <v>263</v>
      </c>
      <c r="B4" s="23" t="s">
        <v>85</v>
      </c>
      <c r="C4" s="88"/>
      <c r="D4" s="88"/>
      <c r="E4" s="88"/>
      <c r="F4" s="88"/>
      <c r="G4" s="89"/>
    </row>
    <row r="5" spans="1:7" ht="37.75" customHeight="1" x14ac:dyDescent="0.3">
      <c r="A5" s="24" t="s">
        <v>88</v>
      </c>
      <c r="B5" s="184" t="s">
        <v>199</v>
      </c>
      <c r="C5" s="185"/>
      <c r="D5" s="185"/>
      <c r="E5" s="185"/>
      <c r="F5" s="185"/>
      <c r="G5" s="186"/>
    </row>
    <row r="6" spans="1:7" ht="26" x14ac:dyDescent="0.3">
      <c r="A6" s="90" t="s">
        <v>262</v>
      </c>
      <c r="B6" s="91" t="s">
        <v>185</v>
      </c>
      <c r="C6" s="84" t="s">
        <v>186</v>
      </c>
      <c r="D6" s="85">
        <v>1</v>
      </c>
      <c r="E6" s="85">
        <v>1</v>
      </c>
      <c r="F6" s="86"/>
      <c r="G6" s="92">
        <f>E6*F6</f>
        <v>0</v>
      </c>
    </row>
    <row r="7" spans="1:7" x14ac:dyDescent="0.3">
      <c r="A7" s="24" t="s">
        <v>88</v>
      </c>
      <c r="B7" s="130" t="s">
        <v>87</v>
      </c>
      <c r="C7" s="131"/>
      <c r="D7" s="131"/>
      <c r="E7" s="131"/>
      <c r="F7" s="131"/>
      <c r="G7" s="132"/>
    </row>
    <row r="8" spans="1:7" x14ac:dyDescent="0.3">
      <c r="A8" s="25" t="s">
        <v>264</v>
      </c>
      <c r="B8" s="26" t="s">
        <v>207</v>
      </c>
      <c r="C8" s="27" t="s">
        <v>7</v>
      </c>
      <c r="D8" s="27" t="s">
        <v>414</v>
      </c>
      <c r="E8" s="27">
        <f>(1.2*1.2*1)*8</f>
        <v>11.52</v>
      </c>
      <c r="F8" s="28"/>
      <c r="G8" s="28">
        <f>E8*F8</f>
        <v>0</v>
      </c>
    </row>
    <row r="9" spans="1:7" x14ac:dyDescent="0.3">
      <c r="A9" s="25" t="s">
        <v>265</v>
      </c>
      <c r="B9" s="26" t="s">
        <v>208</v>
      </c>
      <c r="C9" s="27" t="s">
        <v>7</v>
      </c>
      <c r="D9" s="27" t="s">
        <v>205</v>
      </c>
      <c r="E9" s="27">
        <f>(1.2*1.2*1)</f>
        <v>1.44</v>
      </c>
      <c r="F9" s="28"/>
      <c r="G9" s="28">
        <f>E9*F9</f>
        <v>0</v>
      </c>
    </row>
    <row r="10" spans="1:7" x14ac:dyDescent="0.3">
      <c r="A10" s="137" t="s">
        <v>8</v>
      </c>
      <c r="B10" s="138"/>
      <c r="C10" s="138"/>
      <c r="D10" s="138"/>
      <c r="E10" s="138"/>
      <c r="F10" s="139"/>
      <c r="G10" s="89">
        <f>SUM(G6:G9)</f>
        <v>0</v>
      </c>
    </row>
    <row r="11" spans="1:7" x14ac:dyDescent="0.3">
      <c r="A11" s="88" t="s">
        <v>266</v>
      </c>
      <c r="B11" s="23" t="s">
        <v>13</v>
      </c>
      <c r="C11" s="88"/>
      <c r="D11" s="88"/>
      <c r="E11" s="88"/>
      <c r="F11" s="88"/>
      <c r="G11" s="88"/>
    </row>
    <row r="12" spans="1:7" x14ac:dyDescent="0.3">
      <c r="A12" s="24" t="s">
        <v>88</v>
      </c>
      <c r="B12" s="140" t="s">
        <v>96</v>
      </c>
      <c r="C12" s="141"/>
      <c r="D12" s="141"/>
      <c r="E12" s="141"/>
      <c r="F12" s="141"/>
      <c r="G12" s="142"/>
    </row>
    <row r="13" spans="1:7" x14ac:dyDescent="0.3">
      <c r="A13" s="25" t="s">
        <v>267</v>
      </c>
      <c r="B13" s="26" t="s">
        <v>207</v>
      </c>
      <c r="C13" s="27" t="s">
        <v>7</v>
      </c>
      <c r="D13" s="27" t="s">
        <v>415</v>
      </c>
      <c r="E13" s="27">
        <f>(1.2*1.2*0.05)*8</f>
        <v>0.57599999999999996</v>
      </c>
      <c r="F13" s="28"/>
      <c r="G13" s="28">
        <f t="shared" ref="G13:G14" si="0">E13*F13</f>
        <v>0</v>
      </c>
    </row>
    <row r="14" spans="1:7" x14ac:dyDescent="0.3">
      <c r="A14" s="25" t="s">
        <v>268</v>
      </c>
      <c r="B14" s="26" t="s">
        <v>208</v>
      </c>
      <c r="C14" s="27" t="s">
        <v>7</v>
      </c>
      <c r="D14" s="27" t="s">
        <v>206</v>
      </c>
      <c r="E14" s="27">
        <f>(1.2*1.2*0.05)*1</f>
        <v>7.1999999999999995E-2</v>
      </c>
      <c r="F14" s="28"/>
      <c r="G14" s="28">
        <f t="shared" si="0"/>
        <v>0</v>
      </c>
    </row>
    <row r="15" spans="1:7" x14ac:dyDescent="0.3">
      <c r="A15" s="24" t="s">
        <v>88</v>
      </c>
      <c r="B15" s="140"/>
      <c r="C15" s="141"/>
      <c r="D15" s="141"/>
      <c r="E15" s="141"/>
      <c r="F15" s="141"/>
      <c r="G15" s="142"/>
    </row>
    <row r="16" spans="1:7" x14ac:dyDescent="0.3">
      <c r="A16" s="25" t="s">
        <v>269</v>
      </c>
      <c r="B16" s="26" t="s">
        <v>207</v>
      </c>
      <c r="C16" s="27" t="s">
        <v>7</v>
      </c>
      <c r="D16" s="27" t="s">
        <v>416</v>
      </c>
      <c r="E16" s="27">
        <f>(1.2*1.2*0.4)*8</f>
        <v>4.6079999999999997</v>
      </c>
      <c r="F16" s="28"/>
      <c r="G16" s="28">
        <f t="shared" ref="G16:G17" si="1">E16*F16</f>
        <v>0</v>
      </c>
    </row>
    <row r="17" spans="1:7" x14ac:dyDescent="0.3">
      <c r="A17" s="25" t="s">
        <v>270</v>
      </c>
      <c r="B17" s="26" t="s">
        <v>208</v>
      </c>
      <c r="C17" s="27" t="s">
        <v>7</v>
      </c>
      <c r="D17" s="27" t="s">
        <v>209</v>
      </c>
      <c r="E17" s="27">
        <f>(1.2*1.2*0.2)*1</f>
        <v>0.28799999999999998</v>
      </c>
      <c r="F17" s="28"/>
      <c r="G17" s="28">
        <f t="shared" si="1"/>
        <v>0</v>
      </c>
    </row>
    <row r="18" spans="1:7" x14ac:dyDescent="0.3">
      <c r="A18" s="24" t="s">
        <v>88</v>
      </c>
      <c r="B18" s="140"/>
      <c r="C18" s="141"/>
      <c r="D18" s="141"/>
      <c r="E18" s="141"/>
      <c r="F18" s="141"/>
      <c r="G18" s="142"/>
    </row>
    <row r="19" spans="1:7" x14ac:dyDescent="0.3">
      <c r="A19" s="25" t="s">
        <v>271</v>
      </c>
      <c r="B19" s="26" t="s">
        <v>106</v>
      </c>
      <c r="C19" s="27" t="s">
        <v>7</v>
      </c>
      <c r="D19" s="27" t="s">
        <v>211</v>
      </c>
      <c r="E19" s="27">
        <f>(0.3*0.4*4)*2</f>
        <v>0.96</v>
      </c>
      <c r="F19" s="28"/>
      <c r="G19" s="28">
        <f t="shared" ref="G19:G24" si="2">E19*F19</f>
        <v>0</v>
      </c>
    </row>
    <row r="20" spans="1:7" x14ac:dyDescent="0.3">
      <c r="A20" s="25" t="s">
        <v>272</v>
      </c>
      <c r="B20" s="26" t="s">
        <v>107</v>
      </c>
      <c r="C20" s="27" t="s">
        <v>7</v>
      </c>
      <c r="D20" s="27" t="s">
        <v>210</v>
      </c>
      <c r="E20" s="27">
        <f>(0.2*0.2*3)*1</f>
        <v>0.12000000000000002</v>
      </c>
      <c r="F20" s="28"/>
      <c r="G20" s="28">
        <f t="shared" si="2"/>
        <v>0</v>
      </c>
    </row>
    <row r="21" spans="1:7" ht="39" x14ac:dyDescent="0.3">
      <c r="A21" s="25" t="s">
        <v>273</v>
      </c>
      <c r="B21" s="26" t="s">
        <v>14</v>
      </c>
      <c r="C21" s="27" t="s">
        <v>7</v>
      </c>
      <c r="D21" s="27" t="s">
        <v>410</v>
      </c>
      <c r="E21" s="27">
        <f>0.4*0.2*12</f>
        <v>0.96000000000000019</v>
      </c>
      <c r="F21" s="28"/>
      <c r="G21" s="28">
        <f t="shared" si="2"/>
        <v>0</v>
      </c>
    </row>
    <row r="22" spans="1:7" ht="39" x14ac:dyDescent="0.3">
      <c r="A22" s="25" t="s">
        <v>274</v>
      </c>
      <c r="B22" s="26" t="s">
        <v>424</v>
      </c>
      <c r="C22" s="27" t="s">
        <v>7</v>
      </c>
      <c r="D22" s="27" t="s">
        <v>411</v>
      </c>
      <c r="E22" s="27">
        <f>0.2*0.2*8</f>
        <v>0.32000000000000006</v>
      </c>
      <c r="F22" s="28"/>
      <c r="G22" s="28">
        <f t="shared" si="2"/>
        <v>0</v>
      </c>
    </row>
    <row r="23" spans="1:7" ht="39" x14ac:dyDescent="0.3">
      <c r="A23" s="25" t="s">
        <v>412</v>
      </c>
      <c r="B23" s="26" t="s">
        <v>423</v>
      </c>
      <c r="C23" s="27" t="s">
        <v>7</v>
      </c>
      <c r="D23" s="27" t="s">
        <v>411</v>
      </c>
      <c r="E23" s="27">
        <f>0.2*0.2*8</f>
        <v>0.32000000000000006</v>
      </c>
      <c r="F23" s="28"/>
      <c r="G23" s="28">
        <f t="shared" si="2"/>
        <v>0</v>
      </c>
    </row>
    <row r="24" spans="1:7" ht="39" x14ac:dyDescent="0.3">
      <c r="A24" s="25" t="s">
        <v>413</v>
      </c>
      <c r="B24" s="26" t="s">
        <v>212</v>
      </c>
      <c r="C24" s="27" t="s">
        <v>7</v>
      </c>
      <c r="D24" s="27" t="s">
        <v>213</v>
      </c>
      <c r="E24" s="27">
        <f>0.3*0.3*6</f>
        <v>0.54</v>
      </c>
      <c r="F24" s="28"/>
      <c r="G24" s="28">
        <f t="shared" si="2"/>
        <v>0</v>
      </c>
    </row>
    <row r="25" spans="1:7" ht="52" x14ac:dyDescent="0.3">
      <c r="A25" s="25" t="s">
        <v>421</v>
      </c>
      <c r="B25" s="26" t="s">
        <v>381</v>
      </c>
      <c r="C25" s="27" t="s">
        <v>7</v>
      </c>
      <c r="D25" s="27" t="s">
        <v>379</v>
      </c>
      <c r="E25" s="27">
        <f>13*(12*0.1*0.07)</f>
        <v>1.0920000000000003</v>
      </c>
      <c r="F25" s="41"/>
      <c r="G25" s="41">
        <f t="shared" ref="G25:G26" si="3">E25*F25</f>
        <v>0</v>
      </c>
    </row>
    <row r="26" spans="1:7" ht="52" x14ac:dyDescent="0.3">
      <c r="A26" s="25" t="s">
        <v>422</v>
      </c>
      <c r="B26" s="26" t="s">
        <v>124</v>
      </c>
      <c r="C26" s="27" t="s">
        <v>7</v>
      </c>
      <c r="D26" s="27" t="s">
        <v>420</v>
      </c>
      <c r="E26" s="27">
        <f>16*0.2</f>
        <v>3.2</v>
      </c>
      <c r="F26" s="28"/>
      <c r="G26" s="28">
        <f t="shared" si="3"/>
        <v>0</v>
      </c>
    </row>
    <row r="27" spans="1:7" x14ac:dyDescent="0.3">
      <c r="A27" s="137" t="s">
        <v>8</v>
      </c>
      <c r="B27" s="138"/>
      <c r="C27" s="138"/>
      <c r="D27" s="138"/>
      <c r="E27" s="138"/>
      <c r="F27" s="139"/>
      <c r="G27" s="30">
        <f>SUM(G13:G26)</f>
        <v>0</v>
      </c>
    </row>
    <row r="28" spans="1:7" x14ac:dyDescent="0.3">
      <c r="A28" s="34" t="s">
        <v>275</v>
      </c>
      <c r="B28" s="35" t="s">
        <v>417</v>
      </c>
      <c r="C28" s="34"/>
      <c r="D28" s="34"/>
      <c r="E28" s="34"/>
      <c r="F28" s="36"/>
      <c r="G28" s="36"/>
    </row>
    <row r="29" spans="1:7" ht="39" x14ac:dyDescent="0.3">
      <c r="A29" s="37"/>
      <c r="B29" s="42" t="s">
        <v>29</v>
      </c>
      <c r="C29" s="93"/>
      <c r="D29" s="93"/>
      <c r="E29" s="94"/>
      <c r="F29" s="95"/>
      <c r="G29" s="96"/>
    </row>
    <row r="30" spans="1:7" x14ac:dyDescent="0.3">
      <c r="A30" s="38" t="s">
        <v>276</v>
      </c>
      <c r="B30" s="39" t="s">
        <v>30</v>
      </c>
      <c r="C30" s="40" t="s">
        <v>11</v>
      </c>
      <c r="D30" s="40" t="s">
        <v>418</v>
      </c>
      <c r="E30" s="40">
        <f>(6*12)</f>
        <v>72</v>
      </c>
      <c r="F30" s="41"/>
      <c r="G30" s="41">
        <f>E30*F30</f>
        <v>0</v>
      </c>
    </row>
    <row r="31" spans="1:7" ht="27.65" customHeight="1" x14ac:dyDescent="0.3">
      <c r="A31" s="37"/>
      <c r="B31" s="175"/>
      <c r="C31" s="176"/>
      <c r="D31" s="176"/>
      <c r="E31" s="176"/>
      <c r="F31" s="176"/>
      <c r="G31" s="177"/>
    </row>
    <row r="32" spans="1:7" x14ac:dyDescent="0.3">
      <c r="A32" s="25" t="s">
        <v>277</v>
      </c>
      <c r="B32" s="26" t="s">
        <v>215</v>
      </c>
      <c r="C32" s="27" t="s">
        <v>11</v>
      </c>
      <c r="D32" s="40" t="s">
        <v>419</v>
      </c>
      <c r="E32" s="40">
        <f>(6*12)*2</f>
        <v>144</v>
      </c>
      <c r="F32" s="28"/>
      <c r="G32" s="28">
        <f>E32*F32</f>
        <v>0</v>
      </c>
    </row>
    <row r="33" spans="1:7" x14ac:dyDescent="0.3">
      <c r="A33" s="25" t="s">
        <v>278</v>
      </c>
      <c r="B33" s="26" t="s">
        <v>216</v>
      </c>
      <c r="C33" s="27" t="s">
        <v>11</v>
      </c>
      <c r="D33" s="97" t="s">
        <v>217</v>
      </c>
      <c r="E33" s="97">
        <f>1*4*3</f>
        <v>12</v>
      </c>
      <c r="F33" s="28"/>
      <c r="G33" s="28">
        <f>E33*F33</f>
        <v>0</v>
      </c>
    </row>
    <row r="34" spans="1:7" x14ac:dyDescent="0.3">
      <c r="A34" s="37"/>
      <c r="B34" s="43" t="s">
        <v>35</v>
      </c>
      <c r="C34" s="27"/>
      <c r="D34" s="27"/>
      <c r="E34" s="27"/>
      <c r="F34" s="28"/>
      <c r="G34" s="28"/>
    </row>
    <row r="35" spans="1:7" x14ac:dyDescent="0.3">
      <c r="A35" s="37"/>
      <c r="B35" s="44" t="s">
        <v>36</v>
      </c>
      <c r="C35" s="27"/>
      <c r="D35" s="27"/>
      <c r="E35" s="27"/>
      <c r="F35" s="28"/>
      <c r="G35" s="28"/>
    </row>
    <row r="36" spans="1:7" x14ac:dyDescent="0.3">
      <c r="A36" s="25" t="s">
        <v>279</v>
      </c>
      <c r="B36" s="26" t="s">
        <v>37</v>
      </c>
      <c r="C36" s="27" t="s">
        <v>11</v>
      </c>
      <c r="D36" s="40" t="s">
        <v>214</v>
      </c>
      <c r="E36" s="40">
        <f>(6*1)*2</f>
        <v>12</v>
      </c>
      <c r="F36" s="28"/>
      <c r="G36" s="28">
        <f>E36*F36</f>
        <v>0</v>
      </c>
    </row>
    <row r="37" spans="1:7" x14ac:dyDescent="0.3">
      <c r="A37" s="25"/>
      <c r="B37" s="26"/>
      <c r="C37" s="27" t="s">
        <v>11</v>
      </c>
      <c r="D37" s="97" t="s">
        <v>217</v>
      </c>
      <c r="E37" s="97">
        <f>1*4*3</f>
        <v>12</v>
      </c>
      <c r="F37" s="28"/>
      <c r="G37" s="28">
        <f>E37*F37</f>
        <v>0</v>
      </c>
    </row>
    <row r="38" spans="1:7" x14ac:dyDescent="0.3">
      <c r="A38" s="119" t="s">
        <v>8</v>
      </c>
      <c r="B38" s="119"/>
      <c r="C38" s="119"/>
      <c r="D38" s="119"/>
      <c r="E38" s="119"/>
      <c r="F38" s="119"/>
      <c r="G38" s="30">
        <f>SUM(G30:G37)</f>
        <v>0</v>
      </c>
    </row>
    <row r="39" spans="1:7" s="98" customFormat="1" x14ac:dyDescent="0.3">
      <c r="A39" s="178"/>
      <c r="B39" s="179"/>
      <c r="C39" s="179"/>
      <c r="D39" s="179"/>
      <c r="E39" s="179"/>
      <c r="F39" s="180"/>
      <c r="G39" s="99">
        <f>SUM(G38,G27,G10)</f>
        <v>0</v>
      </c>
    </row>
    <row r="40" spans="1:7" x14ac:dyDescent="0.3">
      <c r="A40" s="34" t="s">
        <v>280</v>
      </c>
      <c r="B40" s="35" t="s">
        <v>204</v>
      </c>
      <c r="C40" s="34"/>
      <c r="D40" s="34"/>
      <c r="E40" s="34"/>
      <c r="F40" s="36"/>
      <c r="G40" s="36"/>
    </row>
    <row r="41" spans="1:7" ht="68.400000000000006" customHeight="1" x14ac:dyDescent="0.3">
      <c r="B41" s="181" t="s">
        <v>200</v>
      </c>
      <c r="C41" s="182"/>
      <c r="D41" s="182"/>
      <c r="E41" s="182"/>
      <c r="F41" s="182"/>
      <c r="G41" s="183"/>
    </row>
    <row r="42" spans="1:7" x14ac:dyDescent="0.3">
      <c r="A42" s="100" t="s">
        <v>281</v>
      </c>
      <c r="B42" s="100" t="s">
        <v>201</v>
      </c>
      <c r="C42" s="101" t="s">
        <v>188</v>
      </c>
      <c r="D42" s="101" t="s">
        <v>202</v>
      </c>
      <c r="E42" s="102">
        <v>2</v>
      </c>
      <c r="F42" s="102"/>
      <c r="G42" s="103">
        <f t="shared" ref="G42:G45" si="4">E42*F42</f>
        <v>0</v>
      </c>
    </row>
    <row r="43" spans="1:7" ht="26" x14ac:dyDescent="0.3">
      <c r="A43" s="100" t="s">
        <v>282</v>
      </c>
      <c r="B43" s="104" t="s">
        <v>218</v>
      </c>
      <c r="C43" s="101" t="s">
        <v>188</v>
      </c>
      <c r="D43" s="101" t="s">
        <v>219</v>
      </c>
      <c r="E43" s="102">
        <v>2</v>
      </c>
      <c r="F43" s="102"/>
      <c r="G43" s="103">
        <f t="shared" si="4"/>
        <v>0</v>
      </c>
    </row>
    <row r="44" spans="1:7" x14ac:dyDescent="0.3">
      <c r="A44" s="105"/>
      <c r="B44" s="106" t="s">
        <v>189</v>
      </c>
      <c r="C44" s="107"/>
      <c r="D44" s="107"/>
      <c r="E44" s="108"/>
      <c r="F44" s="108"/>
      <c r="G44" s="109"/>
    </row>
    <row r="45" spans="1:7" ht="143" x14ac:dyDescent="0.3">
      <c r="A45" s="25" t="s">
        <v>283</v>
      </c>
      <c r="B45" s="26" t="s">
        <v>190</v>
      </c>
      <c r="C45" s="27" t="s">
        <v>187</v>
      </c>
      <c r="D45" s="40">
        <v>1</v>
      </c>
      <c r="E45" s="40">
        <v>1</v>
      </c>
      <c r="F45" s="28"/>
      <c r="G45" s="28">
        <f t="shared" si="4"/>
        <v>0</v>
      </c>
    </row>
    <row r="46" spans="1:7" x14ac:dyDescent="0.3">
      <c r="A46" s="119" t="s">
        <v>8</v>
      </c>
      <c r="B46" s="119"/>
      <c r="C46" s="119"/>
      <c r="D46" s="119"/>
      <c r="E46" s="119"/>
      <c r="F46" s="119"/>
      <c r="G46" s="30">
        <f>SUM(G42:G45)</f>
        <v>0</v>
      </c>
    </row>
    <row r="47" spans="1:7" x14ac:dyDescent="0.3">
      <c r="G47" s="110">
        <f>SUM(G46,G39)</f>
        <v>0</v>
      </c>
    </row>
  </sheetData>
  <mergeCells count="12">
    <mergeCell ref="A27:F27"/>
    <mergeCell ref="B5:G5"/>
    <mergeCell ref="B7:G7"/>
    <mergeCell ref="A10:F10"/>
    <mergeCell ref="B12:G12"/>
    <mergeCell ref="B15:G15"/>
    <mergeCell ref="B18:G18"/>
    <mergeCell ref="A38:F38"/>
    <mergeCell ref="B31:G31"/>
    <mergeCell ref="A39:F39"/>
    <mergeCell ref="A46:F46"/>
    <mergeCell ref="B41:G41"/>
  </mergeCells>
  <conditionalFormatting sqref="G13:G14">
    <cfRule type="cellIs" dxfId="17" priority="14" stopIfTrue="1" operator="equal">
      <formula>0</formula>
    </cfRule>
    <cfRule type="cellIs" dxfId="16" priority="13" stopIfTrue="1" operator="equal">
      <formula>0</formula>
    </cfRule>
  </conditionalFormatting>
  <conditionalFormatting sqref="G46">
    <cfRule type="cellIs" dxfId="15" priority="6" stopIfTrue="1" operator="equal">
      <formula>0</formula>
    </cfRule>
    <cfRule type="cellIs" dxfId="14" priority="5" stopIfTrue="1" operator="equal">
      <formula>0</formula>
    </cfRule>
  </conditionalFormatting>
  <conditionalFormatting sqref="G19:G26">
    <cfRule type="cellIs" dxfId="13" priority="10" stopIfTrue="1" operator="equal">
      <formula>0</formula>
    </cfRule>
    <cfRule type="cellIs" dxfId="12" priority="9" stopIfTrue="1" operator="equal">
      <formula>0</formula>
    </cfRule>
  </conditionalFormatting>
  <conditionalFormatting sqref="G16:G17">
    <cfRule type="cellIs" dxfId="11" priority="12" stopIfTrue="1" operator="equal">
      <formula>0</formula>
    </cfRule>
    <cfRule type="cellIs" dxfId="10" priority="11" stopIfTrue="1" operator="equal">
      <formula>0</formula>
    </cfRule>
  </conditionalFormatting>
  <conditionalFormatting sqref="G37">
    <cfRule type="cellIs" dxfId="9" priority="8" stopIfTrue="1" operator="equal">
      <formula>0</formula>
    </cfRule>
    <cfRule type="cellIs" dxfId="8" priority="7" stopIfTrue="1" operator="equal">
      <formula>0</formula>
    </cfRule>
  </conditionalFormatting>
  <conditionalFormatting sqref="G45">
    <cfRule type="cellIs" dxfId="7" priority="1" stopIfTrue="1" operator="equal">
      <formula>0</formula>
    </cfRule>
    <cfRule type="cellIs" dxfId="6" priority="2" stopIfTrue="1" operator="equal">
      <formula>0</formula>
    </cfRule>
  </conditionalFormatting>
  <conditionalFormatting sqref="G40">
    <cfRule type="cellIs" dxfId="5" priority="3" stopIfTrue="1" operator="equal">
      <formula>0</formula>
    </cfRule>
    <cfRule type="cellIs" dxfId="4" priority="4" stopIfTrue="1" operator="equal">
      <formula>0</formula>
    </cfRule>
  </conditionalFormatting>
  <conditionalFormatting sqref="G10:G12 G15 G18 G27:G30 G32:G36 G3:G7 G38:G39">
    <cfRule type="cellIs" dxfId="3" priority="17" stopIfTrue="1" operator="equal">
      <formula>0</formula>
    </cfRule>
    <cfRule type="cellIs" dxfId="2" priority="18" stopIfTrue="1" operator="equal">
      <formula>0</formula>
    </cfRule>
  </conditionalFormatting>
  <conditionalFormatting sqref="G8:G9">
    <cfRule type="cellIs" dxfId="1" priority="15" stopIfTrue="1" operator="equal">
      <formula>0</formula>
    </cfRule>
    <cfRule type="cellIs" dxfId="0" priority="16"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MAIN BLOCK</vt:lpstr>
      <vt:lpstr>MAIN GATES</vt:lpstr>
      <vt:lpstr>'MAIN BLOCK'!Print_Area</vt:lpstr>
      <vt:lpstr>'MAIN BLOCK'!Print_Titles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 ELabe</dc:creator>
  <cp:lastModifiedBy>Abdirahim Nor</cp:lastModifiedBy>
  <dcterms:created xsi:type="dcterms:W3CDTF">2025-03-13T15:01:14Z</dcterms:created>
  <dcterms:modified xsi:type="dcterms:W3CDTF">2025-04-07T12:35:55Z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4c89bffe231d454eae4a67df746dab95</vt:lpwstr>
  </property>
</Properties>
</file>